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Orçado" sheetId="2" state="visible" r:id="rId4"/>
    <sheet name="Realizado" sheetId="3" state="visible" r:id="rId5"/>
    <sheet name="Comparativo" sheetId="4" state="visible" r:id="rId6"/>
    <sheet name="Acumulado" sheetId="5" state="visible" r:id="rId7"/>
    <sheet name="Comentário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<sst xmlns="http://schemas.openxmlformats.org/spreadsheetml/2006/main" count="171" uniqueCount="110">
  <si>
    <t xml:space="preserve">Modelo de acompanhamento orçado × realizado</t>
  </si>
  <si>
    <t xml:space="preserve">Empresa Exemplo Ltda. · 2026 · exemplo preenchido com realizado até junho</t>
  </si>
  <si>
    <t xml:space="preserve">O que é</t>
  </si>
  <si>
    <t xml:space="preserve">Compara, mês a mês e no acumulado do ano, o que a empresa orçou com o que aconteceu na DRE. Mostra a variação em R$ e em %, diz se ela é favorável ou desfavorável respeitando o sinal de cada linha e separa as variações que precisam de justificativa.</t>
  </si>
  <si>
    <t xml:space="preserve">Como preencher</t>
  </si>
  <si>
    <t xml:space="preserve">1. Orçado: lance o orçamento do ano por linha da DRE, nos 12 meses. As linhas de resultado (receita líquida, lucro bruto, EBITDA, lucro) são calculadas.</t>
  </si>
  <si>
    <t xml:space="preserve">2. Realizado: depois de cada fechamento, lance o mês na mesma estrutura. Meses sem nada digitado ficam fora das contas.</t>
  </si>
  <si>
    <t xml:space="preserve">3. Comentários: ajuste os limites de variação em R$ e em %, a regra (R$ e %, ou R$ ou %) e a tolerância para considerar a linha em linha com o orçado.</t>
  </si>
  <si>
    <t xml:space="preserve">4. Comparativo: escolha o mês na célula azul e leia orçado, realizado, variações, indicador, semáforo e se a linha precisa de justificativa.</t>
  </si>
  <si>
    <t xml:space="preserve">5. Acumulado: escolha até que mês somar e veja o ano até ali e quanto do orçamento anual já foi realizado.</t>
  </si>
  <si>
    <t xml:space="preserve">6. Comentários: registre a justificativa de cada variação acima do limite, com responsável, ação, prazo e status.</t>
  </si>
  <si>
    <t xml:space="preserve">Como ler o indicador</t>
  </si>
  <si>
    <t xml:space="preserve">Receita e linhas de resultado acima do orçado: favorável. Despesa acima do orçado: desfavorável. Variação dentro da tolerância: em linha.</t>
  </si>
  <si>
    <t xml:space="preserve">Semáforo: verde quando favorável ou em linha; amarelo quando desfavorável abaixo do limite; vermelho quando desfavorável acima do limite (precisa de justificativa e ação).</t>
  </si>
  <si>
    <t xml:space="preserve">Legenda de cores</t>
  </si>
  <si>
    <t xml:space="preserve">Entrada: valor que você digita (fonte azul, fundo claro)</t>
  </si>
  <si>
    <t xml:space="preserve">2.150.000</t>
  </si>
  <si>
    <t xml:space="preserve">Fórmula: não digite por cima (fonte preta)</t>
  </si>
  <si>
    <t xml:space="preserve">fórmula</t>
  </si>
  <si>
    <t xml:space="preserve">Linhas de resultado: em negrito com borda superior</t>
  </si>
  <si>
    <t xml:space="preserve">Total</t>
  </si>
  <si>
    <t xml:space="preserve">Lance despesas com valor positivo: o modelo já subtrai. Despesas financeiras líquidas negativas significam receita financeira maior que a despesa.</t>
  </si>
  <si>
    <t xml:space="preserve">Dúvidas e sugestões: @alyssonguimaraes no Instagram e no LinkedIn.</t>
  </si>
  <si>
    <t xml:space="preserve">Modelo LeverPro · @alyssonguimaraes</t>
  </si>
  <si>
    <t xml:space="preserve">Orçado</t>
  </si>
  <si>
    <t xml:space="preserve">Valores positivos; as linhas de resultado são calculadas. Orçamento do ano, mês a mês.</t>
  </si>
  <si>
    <t xml:space="preserve">nº do mês</t>
  </si>
  <si>
    <t xml:space="preserve">Linha da DRE</t>
  </si>
  <si>
    <t xml:space="preserve">Natureza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</si>
  <si>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</si>
  <si>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</si>
  <si>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</si>
  <si>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</si>
  <si>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</si>
  <si>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</si>
  <si>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</si>
  <si>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</si>
  <si>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</si>
  <si>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</si>
  <si>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</si>
  <si>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</si>
  <si>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 ano</t>
  </si>
  <si>
    <t xml:space="preserve">Receita bruta</t>
  </si>
  <si>
    <t xml:space="preserve">Receita</t>
  </si>
  <si>
    <t xml:space="preserve">Deduções e impostos sobre vendas</t>
  </si>
  <si>
    <t xml:space="preserve">Despesa</t>
  </si>
  <si>
    <t xml:space="preserve">Receita líquida</t>
  </si>
  <si>
    <t xml:space="preserve">Resultado</t>
  </si>
  <si>
    <t xml:space="preserve">Custo dos produtos e serviços</t>
  </si>
  <si>
    <t xml:space="preserve">Lucro bruto</t>
  </si>
  <si>
    <t xml:space="preserve">Pessoal e encargos</t>
  </si>
  <si>
    <t xml:space="preserve">Despesas comerciais</t>
  </si>
  <si>
    <t xml:space="preserve">Despesas administrativas</t>
  </si>
  <si>
    <t xml:space="preserve">Ocupação e utilidades</t>
  </si>
  <si>
    <t xml:space="preserve">Tecnologia</t>
  </si>
  <si>
    <t xml:space="preserve">EBITDA</t>
  </si>
  <si>
    <t xml:space="preserve">Depreciação e amortização</t>
  </si>
  <si>
    <t xml:space="preserve">Despesas financeiras líquidas</t>
  </si>
  <si>
    <t xml:space="preserve">Lucro antes do IR e CSLL</t>
  </si>
  <si>
    <t xml:space="preserve">IR e CSLL</t>
  </si>
  <si>
    <t xml:space="preserve">Lucro líquido</t>
  </si>
  <si>
    <t xml:space="preserve">Realizado</t>
  </si>
  <si>
    <t xml:space="preserve">Valores positivos; as linhas de resultado são calculadas. Meses em branco ficam fora do comparativo e do acumulado.</t>
  </si>
  <si>
    <t xml:space="preserve">Mês com realizado (1 = sim)</t>
  </si>
  <si>
    <t xml:space="preserve">Comparativo do mês</t>
  </si>
  <si>
    <t xml:space="preserve">Escolha o mês na célula azul. Variação = realizado − orçado; variação % = variação ÷ orçado.</t>
  </si>
  <si>
    <t xml:space="preserve">Mês</t>
  </si>
  <si>
    <t xml:space="preserve">Variação R$</t>
  </si>
  <si>
    <t xml:space="preserve">Variação %</t>
  </si>
  <si>
    <t xml:space="preserve">Indicador</t>
  </si>
  <si>
    <t xml:space="preserve">Semáforo</t>
  </si>
  <si>
    <t xml:space="preserve">Justificar?</t>
  </si>
  <si>
    <t xml:space="preserve">Acumulado no ano</t>
  </si>
  <si>
    <t xml:space="preserve">Soma de janeiro até o mês escolhido. % do ano = realizado acumulado ÷ orçado do ano inteiro.</t>
  </si>
  <si>
    <t xml:space="preserve">Acumulado até</t>
  </si>
  <si>
    <t xml:space="preserve">Orçado acumulado</t>
  </si>
  <si>
    <t xml:space="preserve">Realizado acumulado</t>
  </si>
  <si>
    <t xml:space="preserve">Orçado do ano</t>
  </si>
  <si>
    <t xml:space="preserve">% do ano realizado</t>
  </si>
  <si>
    <t xml:space="preserve">Comentários e plano de ação</t>
  </si>
  <si>
    <t xml:space="preserve">Registre a justificativa de cada variação relevante. A coluna "Acima do limite?" usa os limites abaixo.</t>
  </si>
  <si>
    <t xml:space="preserve">Limite de variação em R$</t>
  </si>
  <si>
    <t xml:space="preserve">Variações a partir deste valor (para mais ou para menos)</t>
  </si>
  <si>
    <t xml:space="preserve">Limite de variação em %</t>
  </si>
  <si>
    <t xml:space="preserve">Variações a partir deste percentual do orçado</t>
  </si>
  <si>
    <t xml:space="preserve">Regra</t>
  </si>
  <si>
    <t xml:space="preserve">R$ e %</t>
  </si>
  <si>
    <t xml:space="preserve">"R$ e %": precisa passar dos dois limites. "R$ ou %": basta um</t>
  </si>
  <si>
    <t xml:space="preserve">Tolerância para "em linha"</t>
  </si>
  <si>
    <t xml:space="preserve">Até este percentual a linha é considerada em linha com o orçado</t>
  </si>
  <si>
    <t xml:space="preserve">Acima do limite?</t>
  </si>
  <si>
    <t xml:space="preserve">Justificativa</t>
  </si>
  <si>
    <t xml:space="preserve">Responsável</t>
  </si>
  <si>
    <t xml:space="preserve">Ação</t>
  </si>
  <si>
    <t xml:space="preserve">Prazo</t>
  </si>
  <si>
    <t xml:space="preserve">Status</t>
  </si>
  <si>
    <t xml:space="preserve">Atraso de duas entregas de produtos para clientes do varejo, faturadas em julho</t>
  </si>
  <si>
    <t xml:space="preserve">Gerente comercial</t>
  </si>
  <si>
    <t xml:space="preserve">Confirmar faturamento em julho e revisar o forecast do 2º semestre</t>
  </si>
  <si>
    <t xml:space="preserve">Em andamento</t>
  </si>
  <si>
    <t xml:space="preserve">Feira do setor antecipada de agosto para junho, sem ajuste no orçamento</t>
  </si>
  <si>
    <t xml:space="preserve">Remanejar a verba de eventos de agosto para cobrir junho</t>
  </si>
  <si>
    <t xml:space="preserve">Concluída</t>
  </si>
  <si>
    <t xml:space="preserve">Receita 6% abaixo e custo do produto subindo de 47,0% para 49,4% da receita com o reajuste do fornecedor-chave</t>
  </si>
  <si>
    <t xml:space="preserve">Controller</t>
  </si>
  <si>
    <t xml:space="preserve">Rever tabela de preços dos itens afetados e atualizar o forecast</t>
  </si>
  <si>
    <t xml:space="preserve">Aberta</t>
  </si>
  <si>
    <t xml:space="preserve">Reajuste de 6% de um fornecedor-chave a partir de maio, sem repasse no preço</t>
  </si>
  <si>
    <t xml:space="preserve">Coordenador de compras</t>
  </si>
  <si>
    <t xml:space="preserve">Renegociar volume anual e cotar um segundo fornecedor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</si>
</sst>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R$ &quot;#,##0;&quot;(R$ &quot;#,##0\);\–"/>
    <numFmt numFmtId="166" formatCode="General"/>
    <numFmt numFmtId="167" formatCode="0"/>
    <numFmt numFmtId="168" formatCode="&quot;nº &quot;0"/>
    <numFmt numFmtId="169" formatCode="&quot;realizado: &quot;0"/>
    <numFmt numFmtId="170" formatCode="0.0%;\(0.0%\);\–"/>
    <numFmt numFmtId="171" formatCode="0&quot; meses com realizado&quot;"/>
    <numFmt numFmtId="172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B1B3F"/>
      <name val="Arial"/>
      <family val="0"/>
      <charset val="1"/>
    </font>
    <font>
      <i val="true"/>
      <sz val="10"/>
      <color rgb="FF5E6B8C"/>
      <name val="Arial"/>
      <family val="0"/>
      <charset val="1"/>
    </font>
    <font>
      <b val="true"/>
      <sz val="11"/>
      <color rgb="FF0B1B3F"/>
      <name val="Arial"/>
      <family val="0"/>
      <charset val="1"/>
    </font>
    <font>
      <sz val="10"/>
      <name val="Arial"/>
      <family val="0"/>
      <charset val="1"/>
    </font>
    <font>
      <sz val="10"/>
      <color rgb="FF2F5BEA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E6B8C"/>
      <name val="Arial"/>
      <family val="0"/>
      <charset val="1"/>
    </font>
    <font>
      <i val="true"/>
      <sz val="8"/>
      <color rgb="FF9AA6C2"/>
      <name val="Arial"/>
      <family val="0"/>
      <charset val="1"/>
    </font>
    <font>
      <sz val="8"/>
      <color rgb="FF9AA6C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E6B8C"/>
      <name val="Arial"/>
      <family val="0"/>
      <charset val="1"/>
    </font>
    <font>
      <b val="true"/>
      <sz val="12"/>
      <color rgb="FF2F5BEA"/>
      <name val="Arial"/>
      <family val="0"/>
      <charset val="1"/>
    </font>
    <font>
      <b val="true"/>
      <sz val="10"/>
      <color rgb="FF0B1B3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4F6FB"/>
        <bgColor rgb="FFFFFFFF"/>
      </patternFill>
    </fill>
    <fill>
      <patternFill patternType="solid">
        <fgColor rgb="FF0B1B3F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6DEEF"/>
      </bottom>
      <diagonal/>
    </border>
    <border diagonalUp="false" diagonalDown="false">
      <left/>
      <right/>
      <top style="medium">
        <color rgb="FF0B1B3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0F8A5F"/>
      </font>
    </dxf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0F8A5F"/>
      </font>
      <fill>
        <patternFill>
          <bgColor rgb="FFD7F3E6"/>
        </patternFill>
      </fill>
    </dxf>
    <dxf>
      <font>
        <name val="Arial"/>
        <charset val="1"/>
        <family val="0"/>
        <b val="1"/>
        <color rgb="FF9A6400"/>
      </font>
      <fill>
        <patternFill>
          <bgColor rgb="FFFDF0D2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ADBD6"/>
        </patternFill>
      </fill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400"/>
      <rgbColor rgb="FF800080"/>
      <rgbColor rgb="FF0F8A5F"/>
      <rgbColor rgb="FFC0C0C0"/>
      <rgbColor rgb="FF808080"/>
      <rgbColor rgb="FF9999FF"/>
      <rgbColor rgb="FFC0392B"/>
      <rgbColor rgb="FFFDF0D2"/>
      <rgbColor rgb="FFD7F3E6"/>
      <rgbColor rgb="FF660066"/>
      <rgbColor rgb="FFFF8080"/>
      <rgbColor rgb="FF0066CC"/>
      <rgbColor rgb="FFD6DE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B"/>
      <rgbColor rgb="FFCCFFCC"/>
      <rgbColor rgb="FFFFFF99"/>
      <rgbColor rgb="FF99CCFF"/>
      <rgbColor rgb="FFFF99CC"/>
      <rgbColor rgb="FFCC99FF"/>
      <rgbColor rgb="FFFADBD6"/>
      <rgbColor rgb="FF2F5BEA"/>
      <rgbColor rgb="FF33CCCC"/>
      <rgbColor rgb="FF99CC00"/>
      <rgbColor rgb="FFFFCC00"/>
      <rgbColor rgb="FFFF9900"/>
      <rgbColor rgb="FFFF6600"/>
      <rgbColor rgb="FF5E6B8C"/>
      <rgbColor rgb="FF9AA6C2"/>
      <rgbColor rgb="FF0B1B3F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  <col collapsed="false" customWidth="true" hidden="false" outlineLevel="0" max="2" min="2" style="0" width="16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5" hidden="false" customHeight="false" outlineLevel="0" collapsed="false">
      <c r="A6" s="3" t="s">
        <v>4</v>
      </c>
    </row>
    <row r="7" customFormat="false" ht="30" hidden="false" customHeight="true" outlineLevel="0" collapsed="false">
      <c r="A7" s="4" t="s">
        <v>5</v>
      </c>
    </row>
    <row r="8" customFormat="false" ht="30" hidden="false" customHeight="true" outlineLevel="0" collapsed="false">
      <c r="A8" s="4" t="s">
        <v>6</v>
      </c>
    </row>
    <row r="9" customFormat="false" ht="30" hidden="false" customHeight="true" outlineLevel="0" collapsed="false">
      <c r="A9" s="4" t="s">
        <v>7</v>
      </c>
    </row>
    <row r="10" customFormat="false" ht="30" hidden="false" customHeight="true" outlineLevel="0" collapsed="false">
      <c r="A10" s="4" t="s">
        <v>8</v>
      </c>
    </row>
    <row r="11" customFormat="false" ht="30" hidden="false" customHeight="true" outlineLevel="0" collapsed="false">
      <c r="A11" s="4" t="s">
        <v>9</v>
      </c>
    </row>
    <row r="12" customFormat="false" ht="30" hidden="false" customHeight="true" outlineLevel="0" collapsed="false">
      <c r="A12" s="4" t="s">
        <v>10</v>
      </c>
    </row>
    <row r="13" customFormat="false" ht="15" hidden="false" customHeight="false" outlineLevel="0" collapsed="false">
      <c r="A13" s="3" t="s">
        <v>11</v>
      </c>
    </row>
    <row r="14" customFormat="false" ht="30" hidden="false" customHeight="true" outlineLevel="0" collapsed="false">
      <c r="A14" s="4" t="s">
        <v>12</v>
      </c>
    </row>
    <row r="15" customFormat="false" ht="30" hidden="false" customHeight="true" outlineLevel="0" collapsed="false">
      <c r="A15" s="4" t="s">
        <v>13</v>
      </c>
    </row>
    <row r="16" customFormat="false" ht="15" hidden="false" customHeight="false" outlineLevel="0" collapsed="false">
      <c r="A16" s="3" t="s">
        <v>14</v>
      </c>
    </row>
    <row r="17" customFormat="false" ht="15" hidden="false" customHeight="false" outlineLevel="0" collapsed="false">
      <c r="A17" s="5" t="s">
        <v>15</v>
      </c>
      <c r="B17" s="6" t="s">
        <v>16</v>
      </c>
    </row>
    <row r="18" customFormat="false" ht="15" hidden="false" customHeight="false" outlineLevel="0" collapsed="false">
      <c r="A18" s="5" t="s">
        <v>17</v>
      </c>
      <c r="B18" s="7" t="s">
        <v>18</v>
      </c>
    </row>
    <row r="19" customFormat="false" ht="15" hidden="false" customHeight="false" outlineLevel="0" collapsed="false">
      <c r="A19" s="5" t="s">
        <v>19</v>
      </c>
      <c r="B19" s="8" t="s">
        <v>20</v>
      </c>
    </row>
    <row r="21" customFormat="false" ht="15" hidden="false" customHeight="false" outlineLevel="0" collapsed="false">
      <c r="A21" s="9" t="s">
        <v>21</v>
      </c>
    </row>
    <row r="22" customFormat="false" ht="15" hidden="false" customHeight="false" outlineLevel="0" collapsed="false">
      <c r="A22" s="10" t="s">
        <v>22</v>
      </c>
    </row>
    <row r="24" customFormat="false" ht="15" hidden="false" customHeight="false" outlineLevel="0" collapsed="false">
      <c r="A24" s="11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1"/>
    <col collapsed="false" customWidth="true" hidden="false" outlineLevel="0" max="14" min="3" style="0" width="12"/>
    <col collapsed="false" customWidth="true" hidden="false" outlineLevel="0" max="15" min="15" style="0" width="14"/>
  </cols>
  <sheetData>
    <row r="1" customFormat="false" ht="18.5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3" customFormat="false" ht="15" hidden="false" customHeight="false" outlineLevel="0" collapsed="false">
      <c r="B3" s="12" t="s">
        <v>26</v>
      </c>
      <c r="C3" s="13" t="n">
        <v>1</v>
      </c>
      <c r="D3" s="13" t="n">
        <v>2</v>
      </c>
      <c r="E3" s="13" t="n">
        <v>3</v>
      </c>
      <c r="F3" s="13" t="n">
        <v>4</v>
      </c>
      <c r="G3" s="13" t="n">
        <v>5</v>
      </c>
      <c r="H3" s="13" t="n">
        <v>6</v>
      </c>
      <c r="I3" s="13" t="n">
        <v>7</v>
      </c>
      <c r="J3" s="13" t="n">
        <v>8</v>
      </c>
      <c r="K3" s="13" t="n">
        <v>9</v>
      </c>
      <c r="L3" s="13" t="n">
        <v>10</v>
      </c>
      <c r="M3" s="13" t="n">
        <v>11</v>
      </c>
      <c r="N3" s="13" t="n">
        <v>12</v>
      </c>
    </row>
    <row r="4" customFormat="false" ht="30" hidden="false" customHeight="true" outlineLevel="0" collapsed="false">
      <c r="A4" s="14" t="s">
        <v>27</v>
      </c>
      <c r="B4" s="15" t="s">
        <v>28</v>
      </c>
      <c r="C4" s="15" t="s">
        <v>29</v>
      </c>
      <c r="D4" s="15" t="s">
        <v>30</v>
      </c>
      <c r="E4" s="15" t="s">
        <v>31</v>
      </c>
      <c r="F4" s="15" t="s">
        <v>32</v>
      </c>
      <c r="G4" s="15" t="s">
        <v>33</v>
      </c>
      <c r="H4" s="15" t="s">
        <v>34</v>
      </c>
      <c r="I4" s="15" t="s">
        <v>35</v>
      </c>
      <c r="J4" s="15" t="s">
        <v>36</v>
      </c>
      <c r="K4" s="15" t="s">
        <v>37</v>
      </c>
      <c r="L4" s="15" t="s">
        <v>38</v>
      </c>
      <c r="M4" s="15" t="s">
        <v>39</v>
      </c>
      <c r="N4" s="15" t="s">
        <v>40</v>
      </c>
      <c r="O4" s="15" t="s">
        <v>41</v>
      </c>
    </row>
    <row r="5" customFormat="false" ht="15" hidden="false" customHeight="false" outlineLevel="0" collapsed="false">
      <c r="A5" s="6" t="s">
        <v>42</v>
      </c>
      <c r="B5" s="6" t="s">
        <v>43</v>
      </c>
      <c r="C5" s="16" t="n">
        <v>1848000</v>
      </c>
      <c r="D5" s="16" t="n">
        <v>1900800</v>
      </c>
      <c r="E5" s="16" t="n">
        <v>2112000</v>
      </c>
      <c r="F5" s="16" t="n">
        <v>2164800</v>
      </c>
      <c r="G5" s="16" t="n">
        <v>2244000</v>
      </c>
      <c r="H5" s="16" t="n">
        <v>2191200</v>
      </c>
      <c r="I5" s="16" t="n">
        <v>2164800</v>
      </c>
      <c r="J5" s="16" t="n">
        <v>2270400</v>
      </c>
      <c r="K5" s="16" t="n">
        <v>2296800</v>
      </c>
      <c r="L5" s="16" t="n">
        <v>2376000</v>
      </c>
      <c r="M5" s="16" t="n">
        <v>2455200</v>
      </c>
      <c r="N5" s="16" t="n">
        <v>2376000</v>
      </c>
      <c r="O5" s="17" t="n">
        <f aca="false">SUM(C5:N5)</f>
        <v>26400000</v>
      </c>
    </row>
    <row r="6" customFormat="false" ht="15" hidden="false" customHeight="false" outlineLevel="0" collapsed="false">
      <c r="A6" s="6" t="s">
        <v>44</v>
      </c>
      <c r="B6" s="6" t="s">
        <v>45</v>
      </c>
      <c r="C6" s="16" t="n">
        <v>207900</v>
      </c>
      <c r="D6" s="16" t="n">
        <v>213800</v>
      </c>
      <c r="E6" s="16" t="n">
        <v>237600</v>
      </c>
      <c r="F6" s="16" t="n">
        <v>243500</v>
      </c>
      <c r="G6" s="16" t="n">
        <v>252400</v>
      </c>
      <c r="H6" s="16" t="n">
        <v>246500</v>
      </c>
      <c r="I6" s="16" t="n">
        <v>243500</v>
      </c>
      <c r="J6" s="16" t="n">
        <v>255400</v>
      </c>
      <c r="K6" s="16" t="n">
        <v>258400</v>
      </c>
      <c r="L6" s="16" t="n">
        <v>267300</v>
      </c>
      <c r="M6" s="16" t="n">
        <v>276200</v>
      </c>
      <c r="N6" s="16" t="n">
        <v>267300</v>
      </c>
      <c r="O6" s="17" t="n">
        <f aca="false">SUM(C6:N6)</f>
        <v>2969800</v>
      </c>
    </row>
    <row r="7" customFormat="false" ht="15" hidden="false" customHeight="false" outlineLevel="0" collapsed="false">
      <c r="A7" s="18" t="s">
        <v>46</v>
      </c>
      <c r="B7" s="18" t="s">
        <v>47</v>
      </c>
      <c r="C7" s="19" t="n">
        <f aca="false">C5-C6</f>
        <v>1640100</v>
      </c>
      <c r="D7" s="19" t="n">
        <f aca="false">D5-D6</f>
        <v>1687000</v>
      </c>
      <c r="E7" s="19" t="n">
        <f aca="false">E5-E6</f>
        <v>1874400</v>
      </c>
      <c r="F7" s="19" t="n">
        <f aca="false">F5-F6</f>
        <v>1921300</v>
      </c>
      <c r="G7" s="19" t="n">
        <f aca="false">G5-G6</f>
        <v>1991600</v>
      </c>
      <c r="H7" s="19" t="n">
        <f aca="false">H5-H6</f>
        <v>1944700</v>
      </c>
      <c r="I7" s="19" t="n">
        <f aca="false">I5-I6</f>
        <v>1921300</v>
      </c>
      <c r="J7" s="19" t="n">
        <f aca="false">J5-J6</f>
        <v>2015000</v>
      </c>
      <c r="K7" s="19" t="n">
        <f aca="false">K5-K6</f>
        <v>2038400</v>
      </c>
      <c r="L7" s="19" t="n">
        <f aca="false">L5-L6</f>
        <v>2108700</v>
      </c>
      <c r="M7" s="19" t="n">
        <f aca="false">M5-M6</f>
        <v>2179000</v>
      </c>
      <c r="N7" s="19" t="n">
        <f aca="false">N5-N6</f>
        <v>2108700</v>
      </c>
      <c r="O7" s="19" t="n">
        <f aca="false">SUM(C7:N7)</f>
        <v>23430200</v>
      </c>
    </row>
    <row r="8" customFormat="false" ht="15" hidden="false" customHeight="false" outlineLevel="0" collapsed="false">
      <c r="A8" s="6" t="s">
        <v>48</v>
      </c>
      <c r="B8" s="6" t="s">
        <v>45</v>
      </c>
      <c r="C8" s="16" t="n">
        <v>868600</v>
      </c>
      <c r="D8" s="16" t="n">
        <v>893400</v>
      </c>
      <c r="E8" s="16" t="n">
        <v>992600</v>
      </c>
      <c r="F8" s="16" t="n">
        <v>1017500</v>
      </c>
      <c r="G8" s="16" t="n">
        <v>1054700</v>
      </c>
      <c r="H8" s="16" t="n">
        <v>1029900</v>
      </c>
      <c r="I8" s="16" t="n">
        <v>1017500</v>
      </c>
      <c r="J8" s="16" t="n">
        <v>1067100</v>
      </c>
      <c r="K8" s="16" t="n">
        <v>1079500</v>
      </c>
      <c r="L8" s="16" t="n">
        <v>1116700</v>
      </c>
      <c r="M8" s="16" t="n">
        <v>1153900</v>
      </c>
      <c r="N8" s="16" t="n">
        <v>1116700</v>
      </c>
      <c r="O8" s="17" t="n">
        <f aca="false">SUM(C8:N8)</f>
        <v>12408100</v>
      </c>
    </row>
    <row r="9" customFormat="false" ht="15" hidden="false" customHeight="false" outlineLevel="0" collapsed="false">
      <c r="A9" s="18" t="s">
        <v>49</v>
      </c>
      <c r="B9" s="18" t="s">
        <v>47</v>
      </c>
      <c r="C9" s="19" t="n">
        <f aca="false">C5-C6-C8</f>
        <v>771500</v>
      </c>
      <c r="D9" s="19" t="n">
        <f aca="false">D5-D6-D8</f>
        <v>793600</v>
      </c>
      <c r="E9" s="19" t="n">
        <f aca="false">E5-E6-E8</f>
        <v>881800</v>
      </c>
      <c r="F9" s="19" t="n">
        <f aca="false">F5-F6-F8</f>
        <v>903800</v>
      </c>
      <c r="G9" s="19" t="n">
        <f aca="false">G5-G6-G8</f>
        <v>936900</v>
      </c>
      <c r="H9" s="19" t="n">
        <f aca="false">H5-H6-H8</f>
        <v>914800</v>
      </c>
      <c r="I9" s="19" t="n">
        <f aca="false">I5-I6-I8</f>
        <v>903800</v>
      </c>
      <c r="J9" s="19" t="n">
        <f aca="false">J5-J6-J8</f>
        <v>947900</v>
      </c>
      <c r="K9" s="19" t="n">
        <f aca="false">K5-K6-K8</f>
        <v>958900</v>
      </c>
      <c r="L9" s="19" t="n">
        <f aca="false">L5-L6-L8</f>
        <v>992000</v>
      </c>
      <c r="M9" s="19" t="n">
        <f aca="false">M5-M6-M8</f>
        <v>1025100</v>
      </c>
      <c r="N9" s="19" t="n">
        <f aca="false">N5-N6-N8</f>
        <v>992000</v>
      </c>
      <c r="O9" s="19" t="n">
        <f aca="false">SUM(C9:N9)</f>
        <v>11022100</v>
      </c>
    </row>
    <row r="10" customFormat="false" ht="15" hidden="false" customHeight="false" outlineLevel="0" collapsed="false">
      <c r="A10" s="6" t="s">
        <v>50</v>
      </c>
      <c r="B10" s="6" t="s">
        <v>45</v>
      </c>
      <c r="C10" s="16" t="n">
        <v>330000</v>
      </c>
      <c r="D10" s="16" t="n">
        <v>330000</v>
      </c>
      <c r="E10" s="16" t="n">
        <v>330000</v>
      </c>
      <c r="F10" s="16" t="n">
        <v>330000</v>
      </c>
      <c r="G10" s="16" t="n">
        <v>348000</v>
      </c>
      <c r="H10" s="16" t="n">
        <v>348000</v>
      </c>
      <c r="I10" s="16" t="n">
        <v>348000</v>
      </c>
      <c r="J10" s="16" t="n">
        <v>348000</v>
      </c>
      <c r="K10" s="16" t="n">
        <v>348000</v>
      </c>
      <c r="L10" s="16" t="n">
        <v>348000</v>
      </c>
      <c r="M10" s="16" t="n">
        <v>348000</v>
      </c>
      <c r="N10" s="16" t="n">
        <v>348000</v>
      </c>
      <c r="O10" s="17" t="n">
        <f aca="false">SUM(C10:N10)</f>
        <v>4104000</v>
      </c>
    </row>
    <row r="11" customFormat="false" ht="15" hidden="false" customHeight="false" outlineLevel="0" collapsed="false">
      <c r="A11" s="6" t="s">
        <v>51</v>
      </c>
      <c r="B11" s="6" t="s">
        <v>45</v>
      </c>
      <c r="C11" s="16" t="n">
        <v>80400</v>
      </c>
      <c r="D11" s="16" t="n">
        <v>82000</v>
      </c>
      <c r="E11" s="16" t="n">
        <v>88400</v>
      </c>
      <c r="F11" s="16" t="n">
        <v>89900</v>
      </c>
      <c r="G11" s="16" t="n">
        <v>92300</v>
      </c>
      <c r="H11" s="16" t="n">
        <v>90700</v>
      </c>
      <c r="I11" s="16" t="n">
        <v>89900</v>
      </c>
      <c r="J11" s="16" t="n">
        <v>93100</v>
      </c>
      <c r="K11" s="16" t="n">
        <v>93900</v>
      </c>
      <c r="L11" s="16" t="n">
        <v>96300</v>
      </c>
      <c r="M11" s="16" t="n">
        <v>98700</v>
      </c>
      <c r="N11" s="16" t="n">
        <v>96300</v>
      </c>
      <c r="O11" s="17" t="n">
        <f aca="false">SUM(C11:N11)</f>
        <v>1091900</v>
      </c>
    </row>
    <row r="12" customFormat="false" ht="15" hidden="false" customHeight="false" outlineLevel="0" collapsed="false">
      <c r="A12" s="6" t="s">
        <v>52</v>
      </c>
      <c r="B12" s="6" t="s">
        <v>45</v>
      </c>
      <c r="C12" s="16" t="n">
        <v>92000</v>
      </c>
      <c r="D12" s="16" t="n">
        <v>92000</v>
      </c>
      <c r="E12" s="16" t="n">
        <v>92000</v>
      </c>
      <c r="F12" s="16" t="n">
        <v>92000</v>
      </c>
      <c r="G12" s="16" t="n">
        <v>92000</v>
      </c>
      <c r="H12" s="16" t="n">
        <v>92000</v>
      </c>
      <c r="I12" s="16" t="n">
        <v>92000</v>
      </c>
      <c r="J12" s="16" t="n">
        <v>92000</v>
      </c>
      <c r="K12" s="16" t="n">
        <v>92000</v>
      </c>
      <c r="L12" s="16" t="n">
        <v>92000</v>
      </c>
      <c r="M12" s="16" t="n">
        <v>92000</v>
      </c>
      <c r="N12" s="16" t="n">
        <v>92000</v>
      </c>
      <c r="O12" s="17" t="n">
        <f aca="false">SUM(C12:N12)</f>
        <v>1104000</v>
      </c>
    </row>
    <row r="13" customFormat="false" ht="15" hidden="false" customHeight="false" outlineLevel="0" collapsed="false">
      <c r="A13" s="6" t="s">
        <v>53</v>
      </c>
      <c r="B13" s="6" t="s">
        <v>45</v>
      </c>
      <c r="C13" s="16" t="n">
        <v>54000</v>
      </c>
      <c r="D13" s="16" t="n">
        <v>54000</v>
      </c>
      <c r="E13" s="16" t="n">
        <v>54000</v>
      </c>
      <c r="F13" s="16" t="n">
        <v>54000</v>
      </c>
      <c r="G13" s="16" t="n">
        <v>54000</v>
      </c>
      <c r="H13" s="16" t="n">
        <v>54000</v>
      </c>
      <c r="I13" s="16" t="n">
        <v>54000</v>
      </c>
      <c r="J13" s="16" t="n">
        <v>57000</v>
      </c>
      <c r="K13" s="16" t="n">
        <v>57000</v>
      </c>
      <c r="L13" s="16" t="n">
        <v>57000</v>
      </c>
      <c r="M13" s="16" t="n">
        <v>57000</v>
      </c>
      <c r="N13" s="16" t="n">
        <v>57000</v>
      </c>
      <c r="O13" s="17" t="n">
        <f aca="false">SUM(C13:N13)</f>
        <v>663000</v>
      </c>
    </row>
    <row r="14" customFormat="false" ht="15" hidden="false" customHeight="false" outlineLevel="0" collapsed="false">
      <c r="A14" s="6" t="s">
        <v>54</v>
      </c>
      <c r="B14" s="6" t="s">
        <v>45</v>
      </c>
      <c r="C14" s="16" t="n">
        <v>31000</v>
      </c>
      <c r="D14" s="16" t="n">
        <v>31000</v>
      </c>
      <c r="E14" s="16" t="n">
        <v>31000</v>
      </c>
      <c r="F14" s="16" t="n">
        <v>31000</v>
      </c>
      <c r="G14" s="16" t="n">
        <v>31000</v>
      </c>
      <c r="H14" s="16" t="n">
        <v>31000</v>
      </c>
      <c r="I14" s="16" t="n">
        <v>31000</v>
      </c>
      <c r="J14" s="16" t="n">
        <v>31000</v>
      </c>
      <c r="K14" s="16" t="n">
        <v>31000</v>
      </c>
      <c r="L14" s="16" t="n">
        <v>31000</v>
      </c>
      <c r="M14" s="16" t="n">
        <v>31000</v>
      </c>
      <c r="N14" s="16" t="n">
        <v>31000</v>
      </c>
      <c r="O14" s="17" t="n">
        <f aca="false">SUM(C14:N14)</f>
        <v>372000</v>
      </c>
    </row>
    <row r="15" customFormat="false" ht="15" hidden="false" customHeight="false" outlineLevel="0" collapsed="false">
      <c r="A15" s="18" t="s">
        <v>55</v>
      </c>
      <c r="B15" s="18" t="s">
        <v>47</v>
      </c>
      <c r="C15" s="19" t="n">
        <f aca="false">C5-C6-C8-C10-C11-C12-C13-C14</f>
        <v>184100</v>
      </c>
      <c r="D15" s="19" t="n">
        <f aca="false">D5-D6-D8-D10-D11-D12-D13-D14</f>
        <v>204600</v>
      </c>
      <c r="E15" s="19" t="n">
        <f aca="false">E5-E6-E8-E10-E11-E12-E13-E14</f>
        <v>286400</v>
      </c>
      <c r="F15" s="19" t="n">
        <f aca="false">F5-F6-F8-F10-F11-F12-F13-F14</f>
        <v>306900</v>
      </c>
      <c r="G15" s="19" t="n">
        <f aca="false">G5-G6-G8-G10-G11-G12-G13-G14</f>
        <v>319600</v>
      </c>
      <c r="H15" s="19" t="n">
        <f aca="false">H5-H6-H8-H10-H11-H12-H13-H14</f>
        <v>299100</v>
      </c>
      <c r="I15" s="19" t="n">
        <f aca="false">I5-I6-I8-I10-I11-I12-I13-I14</f>
        <v>288900</v>
      </c>
      <c r="J15" s="19" t="n">
        <f aca="false">J5-J6-J8-J10-J11-J12-J13-J14</f>
        <v>326800</v>
      </c>
      <c r="K15" s="19" t="n">
        <f aca="false">K5-K6-K8-K10-K11-K12-K13-K14</f>
        <v>337000</v>
      </c>
      <c r="L15" s="19" t="n">
        <f aca="false">L5-L6-L8-L10-L11-L12-L13-L14</f>
        <v>367700</v>
      </c>
      <c r="M15" s="19" t="n">
        <f aca="false">M5-M6-M8-M10-M11-M12-M13-M14</f>
        <v>398400</v>
      </c>
      <c r="N15" s="19" t="n">
        <f aca="false">N5-N6-N8-N10-N11-N12-N13-N14</f>
        <v>367700</v>
      </c>
      <c r="O15" s="19" t="n">
        <f aca="false">SUM(C15:N15)</f>
        <v>3687200</v>
      </c>
    </row>
    <row r="16" customFormat="false" ht="15" hidden="false" customHeight="false" outlineLevel="0" collapsed="false">
      <c r="A16" s="6" t="s">
        <v>56</v>
      </c>
      <c r="B16" s="6" t="s">
        <v>45</v>
      </c>
      <c r="C16" s="16" t="n">
        <v>28000</v>
      </c>
      <c r="D16" s="16" t="n">
        <v>28000</v>
      </c>
      <c r="E16" s="16" t="n">
        <v>28000</v>
      </c>
      <c r="F16" s="16" t="n">
        <v>28000</v>
      </c>
      <c r="G16" s="16" t="n">
        <v>28000</v>
      </c>
      <c r="H16" s="16" t="n">
        <v>28000</v>
      </c>
      <c r="I16" s="16" t="n">
        <v>28000</v>
      </c>
      <c r="J16" s="16" t="n">
        <v>28000</v>
      </c>
      <c r="K16" s="16" t="n">
        <v>28000</v>
      </c>
      <c r="L16" s="16" t="n">
        <v>28000</v>
      </c>
      <c r="M16" s="16" t="n">
        <v>28000</v>
      </c>
      <c r="N16" s="16" t="n">
        <v>28000</v>
      </c>
      <c r="O16" s="17" t="n">
        <f aca="false">SUM(C16:N16)</f>
        <v>336000</v>
      </c>
    </row>
    <row r="17" customFormat="false" ht="15" hidden="false" customHeight="false" outlineLevel="0" collapsed="false">
      <c r="A17" s="6" t="s">
        <v>57</v>
      </c>
      <c r="B17" s="6" t="s">
        <v>45</v>
      </c>
      <c r="C17" s="16" t="n">
        <v>24000</v>
      </c>
      <c r="D17" s="16" t="n">
        <v>24000</v>
      </c>
      <c r="E17" s="16" t="n">
        <v>24000</v>
      </c>
      <c r="F17" s="16" t="n">
        <v>24000</v>
      </c>
      <c r="G17" s="16" t="n">
        <v>24000</v>
      </c>
      <c r="H17" s="16" t="n">
        <v>24000</v>
      </c>
      <c r="I17" s="16" t="n">
        <v>24000</v>
      </c>
      <c r="J17" s="16" t="n">
        <v>24000</v>
      </c>
      <c r="K17" s="16" t="n">
        <v>24000</v>
      </c>
      <c r="L17" s="16" t="n">
        <v>24000</v>
      </c>
      <c r="M17" s="16" t="n">
        <v>24000</v>
      </c>
      <c r="N17" s="16" t="n">
        <v>24000</v>
      </c>
      <c r="O17" s="17" t="n">
        <f aca="false">SUM(C17:N17)</f>
        <v>288000</v>
      </c>
    </row>
    <row r="18" customFormat="false" ht="15" hidden="false" customHeight="false" outlineLevel="0" collapsed="false">
      <c r="A18" s="18" t="s">
        <v>58</v>
      </c>
      <c r="B18" s="18" t="s">
        <v>47</v>
      </c>
      <c r="C18" s="19" t="n">
        <f aca="false">C5-C6-C8-C10-C11-C12-C13-C14-C16-C17</f>
        <v>132100</v>
      </c>
      <c r="D18" s="19" t="n">
        <f aca="false">D5-D6-D8-D10-D11-D12-D13-D14-D16-D17</f>
        <v>152600</v>
      </c>
      <c r="E18" s="19" t="n">
        <f aca="false">E5-E6-E8-E10-E11-E12-E13-E14-E16-E17</f>
        <v>234400</v>
      </c>
      <c r="F18" s="19" t="n">
        <f aca="false">F5-F6-F8-F10-F11-F12-F13-F14-F16-F17</f>
        <v>254900</v>
      </c>
      <c r="G18" s="19" t="n">
        <f aca="false">G5-G6-G8-G10-G11-G12-G13-G14-G16-G17</f>
        <v>267600</v>
      </c>
      <c r="H18" s="19" t="n">
        <f aca="false">H5-H6-H8-H10-H11-H12-H13-H14-H16-H17</f>
        <v>247100</v>
      </c>
      <c r="I18" s="19" t="n">
        <f aca="false">I5-I6-I8-I10-I11-I12-I13-I14-I16-I17</f>
        <v>236900</v>
      </c>
      <c r="J18" s="19" t="n">
        <f aca="false">J5-J6-J8-J10-J11-J12-J13-J14-J16-J17</f>
        <v>274800</v>
      </c>
      <c r="K18" s="19" t="n">
        <f aca="false">K5-K6-K8-K10-K11-K12-K13-K14-K16-K17</f>
        <v>285000</v>
      </c>
      <c r="L18" s="19" t="n">
        <f aca="false">L5-L6-L8-L10-L11-L12-L13-L14-L16-L17</f>
        <v>315700</v>
      </c>
      <c r="M18" s="19" t="n">
        <f aca="false">M5-M6-M8-M10-M11-M12-M13-M14-M16-M17</f>
        <v>346400</v>
      </c>
      <c r="N18" s="19" t="n">
        <f aca="false">N5-N6-N8-N10-N11-N12-N13-N14-N16-N17</f>
        <v>315700</v>
      </c>
      <c r="O18" s="19" t="n">
        <f aca="false">SUM(C18:N18)</f>
        <v>3063200</v>
      </c>
    </row>
    <row r="19" customFormat="false" ht="15" hidden="false" customHeight="false" outlineLevel="0" collapsed="false">
      <c r="A19" s="6" t="s">
        <v>59</v>
      </c>
      <c r="B19" s="6" t="s">
        <v>45</v>
      </c>
      <c r="C19" s="16" t="n">
        <v>44900</v>
      </c>
      <c r="D19" s="16" t="n">
        <v>51900</v>
      </c>
      <c r="E19" s="16" t="n">
        <v>79700</v>
      </c>
      <c r="F19" s="16" t="n">
        <v>86700</v>
      </c>
      <c r="G19" s="16" t="n">
        <v>91000</v>
      </c>
      <c r="H19" s="16" t="n">
        <v>84000</v>
      </c>
      <c r="I19" s="16" t="n">
        <v>80500</v>
      </c>
      <c r="J19" s="16" t="n">
        <v>93400</v>
      </c>
      <c r="K19" s="16" t="n">
        <v>96900</v>
      </c>
      <c r="L19" s="16" t="n">
        <v>107300</v>
      </c>
      <c r="M19" s="16" t="n">
        <v>117800</v>
      </c>
      <c r="N19" s="16" t="n">
        <v>107300</v>
      </c>
      <c r="O19" s="17" t="n">
        <f aca="false">SUM(C19:N19)</f>
        <v>1041400</v>
      </c>
    </row>
    <row r="20" customFormat="false" ht="15" hidden="false" customHeight="false" outlineLevel="0" collapsed="false">
      <c r="A20" s="18" t="s">
        <v>60</v>
      </c>
      <c r="B20" s="18" t="s">
        <v>47</v>
      </c>
      <c r="C20" s="19" t="n">
        <f aca="false">C5-C6-C8-C10-C11-C12-C13-C14-C16-C17-C19</f>
        <v>87200</v>
      </c>
      <c r="D20" s="19" t="n">
        <f aca="false">D5-D6-D8-D10-D11-D12-D13-D14-D16-D17-D19</f>
        <v>100700</v>
      </c>
      <c r="E20" s="19" t="n">
        <f aca="false">E5-E6-E8-E10-E11-E12-E13-E14-E16-E17-E19</f>
        <v>154700</v>
      </c>
      <c r="F20" s="19" t="n">
        <f aca="false">F5-F6-F8-F10-F11-F12-F13-F14-F16-F17-F19</f>
        <v>168200</v>
      </c>
      <c r="G20" s="19" t="n">
        <f aca="false">G5-G6-G8-G10-G11-G12-G13-G14-G16-G17-G19</f>
        <v>176600</v>
      </c>
      <c r="H20" s="19" t="n">
        <f aca="false">H5-H6-H8-H10-H11-H12-H13-H14-H16-H17-H19</f>
        <v>163100</v>
      </c>
      <c r="I20" s="19" t="n">
        <f aca="false">I5-I6-I8-I10-I11-I12-I13-I14-I16-I17-I19</f>
        <v>156400</v>
      </c>
      <c r="J20" s="19" t="n">
        <f aca="false">J5-J6-J8-J10-J11-J12-J13-J14-J16-J17-J19</f>
        <v>181400</v>
      </c>
      <c r="K20" s="19" t="n">
        <f aca="false">K5-K6-K8-K10-K11-K12-K13-K14-K16-K17-K19</f>
        <v>188100</v>
      </c>
      <c r="L20" s="19" t="n">
        <f aca="false">L5-L6-L8-L10-L11-L12-L13-L14-L16-L17-L19</f>
        <v>208400</v>
      </c>
      <c r="M20" s="19" t="n">
        <f aca="false">M5-M6-M8-M10-M11-M12-M13-M14-M16-M17-M19</f>
        <v>228600</v>
      </c>
      <c r="N20" s="19" t="n">
        <f aca="false">N5-N6-N8-N10-N11-N12-N13-N14-N16-N17-N19</f>
        <v>208400</v>
      </c>
      <c r="O20" s="19" t="n">
        <f aca="false">SUM(C20:N20)</f>
        <v>2021800</v>
      </c>
    </row>
    <row r="23" customFormat="false" ht="15" hidden="false" customHeight="false" outlineLevel="0" collapsed="false">
      <c r="A23" s="11" t="s">
        <v>23</v>
      </c>
    </row>
  </sheetData>
  <dataValidations count="1">
    <dataValidation allowBlank="false" errorStyle="stop" operator="between" showDropDown="false" showErrorMessage="false" showInputMessage="false" sqref="B5:B20" type="list">
      <formula1>"Receita,Despesa,Resultado"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1"/>
    <col collapsed="false" customWidth="true" hidden="false" outlineLevel="0" max="14" min="3" style="0" width="12"/>
    <col collapsed="false" customWidth="true" hidden="false" outlineLevel="0" max="15" min="15" style="0" width="14"/>
  </cols>
  <sheetData>
    <row r="1" customFormat="false" ht="18.55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3" customFormat="false" ht="15" hidden="false" customHeight="false" outlineLevel="0" collapsed="false">
      <c r="B3" s="12" t="s">
        <v>26</v>
      </c>
      <c r="C3" s="13" t="n">
        <v>1</v>
      </c>
      <c r="D3" s="13" t="n">
        <v>2</v>
      </c>
      <c r="E3" s="13" t="n">
        <v>3</v>
      </c>
      <c r="F3" s="13" t="n">
        <v>4</v>
      </c>
      <c r="G3" s="13" t="n">
        <v>5</v>
      </c>
      <c r="H3" s="13" t="n">
        <v>6</v>
      </c>
      <c r="I3" s="13" t="n">
        <v>7</v>
      </c>
      <c r="J3" s="13" t="n">
        <v>8</v>
      </c>
      <c r="K3" s="13" t="n">
        <v>9</v>
      </c>
      <c r="L3" s="13" t="n">
        <v>10</v>
      </c>
      <c r="M3" s="13" t="n">
        <v>11</v>
      </c>
      <c r="N3" s="13" t="n">
        <v>12</v>
      </c>
    </row>
    <row r="4" customFormat="false" ht="30" hidden="false" customHeight="true" outlineLevel="0" collapsed="false">
      <c r="A4" s="14" t="s">
        <v>27</v>
      </c>
      <c r="B4" s="15" t="s">
        <v>28</v>
      </c>
      <c r="C4" s="15" t="s">
        <v>29</v>
      </c>
      <c r="D4" s="15" t="s">
        <v>30</v>
      </c>
      <c r="E4" s="15" t="s">
        <v>31</v>
      </c>
      <c r="F4" s="15" t="s">
        <v>32</v>
      </c>
      <c r="G4" s="15" t="s">
        <v>33</v>
      </c>
      <c r="H4" s="15" t="s">
        <v>34</v>
      </c>
      <c r="I4" s="15" t="s">
        <v>35</v>
      </c>
      <c r="J4" s="15" t="s">
        <v>36</v>
      </c>
      <c r="K4" s="15" t="s">
        <v>37</v>
      </c>
      <c r="L4" s="15" t="s">
        <v>38</v>
      </c>
      <c r="M4" s="15" t="s">
        <v>39</v>
      </c>
      <c r="N4" s="15" t="s">
        <v>40</v>
      </c>
      <c r="O4" s="15" t="s">
        <v>41</v>
      </c>
    </row>
    <row r="5" customFormat="false" ht="15" hidden="false" customHeight="false" outlineLevel="0" collapsed="false">
      <c r="A5" s="7" t="str">
        <f aca="false">Orçado!A5</f>
        <v>Receita bruta</v>
      </c>
      <c r="B5" s="7" t="str">
        <f aca="false">Orçado!B5</f>
        <v>Receita</v>
      </c>
      <c r="C5" s="16" t="n">
        <v>1792600</v>
      </c>
      <c r="D5" s="16" t="n">
        <v>1938800</v>
      </c>
      <c r="E5" s="16" t="n">
        <v>2133100</v>
      </c>
      <c r="F5" s="16" t="n">
        <v>2121500</v>
      </c>
      <c r="G5" s="16" t="n">
        <v>2311300</v>
      </c>
      <c r="H5" s="16" t="n">
        <v>2059700</v>
      </c>
      <c r="I5" s="16"/>
      <c r="J5" s="16"/>
      <c r="K5" s="16"/>
      <c r="L5" s="16"/>
      <c r="M5" s="16"/>
      <c r="N5" s="16"/>
      <c r="O5" s="17" t="n">
        <f aca="false">SUM(C5:N5)</f>
        <v>12357000</v>
      </c>
    </row>
    <row r="6" customFormat="false" ht="15" hidden="false" customHeight="false" outlineLevel="0" collapsed="false">
      <c r="A6" s="7" t="str">
        <f aca="false">Orçado!A6</f>
        <v>Deduções e impostos sobre vendas</v>
      </c>
      <c r="B6" s="7" t="str">
        <f aca="false">Orçado!B6</f>
        <v>Despesa</v>
      </c>
      <c r="C6" s="16" t="n">
        <v>201700</v>
      </c>
      <c r="D6" s="16" t="n">
        <v>218100</v>
      </c>
      <c r="E6" s="16" t="n">
        <v>240000</v>
      </c>
      <c r="F6" s="16" t="n">
        <v>238700</v>
      </c>
      <c r="G6" s="16" t="n">
        <v>260000</v>
      </c>
      <c r="H6" s="16" t="n">
        <v>231700</v>
      </c>
      <c r="I6" s="16"/>
      <c r="J6" s="16"/>
      <c r="K6" s="16"/>
      <c r="L6" s="16"/>
      <c r="M6" s="16"/>
      <c r="N6" s="16"/>
      <c r="O6" s="17" t="n">
        <f aca="false">SUM(C6:N6)</f>
        <v>1390200</v>
      </c>
    </row>
    <row r="7" customFormat="false" ht="15" hidden="false" customHeight="false" outlineLevel="0" collapsed="false">
      <c r="A7" s="8" t="str">
        <f aca="false">Orçado!A7</f>
        <v>Receita líquida</v>
      </c>
      <c r="B7" s="8" t="str">
        <f aca="false">Orçado!B7</f>
        <v>Resultado</v>
      </c>
      <c r="C7" s="19" t="n">
        <f aca="false">IF(C$21=0,"",C5-C6)</f>
        <v>1590900</v>
      </c>
      <c r="D7" s="19" t="n">
        <f aca="false">IF(D$21=0,"",D5-D6)</f>
        <v>1720700</v>
      </c>
      <c r="E7" s="19" t="n">
        <f aca="false">IF(E$21=0,"",E5-E6)</f>
        <v>1893100</v>
      </c>
      <c r="F7" s="19" t="n">
        <f aca="false">IF(F$21=0,"",F5-F6)</f>
        <v>1882800</v>
      </c>
      <c r="G7" s="19" t="n">
        <f aca="false">IF(G$21=0,"",G5-G6)</f>
        <v>2051300</v>
      </c>
      <c r="H7" s="19" t="n">
        <f aca="false">IF(H$21=0,"",H5-H6)</f>
        <v>1828000</v>
      </c>
      <c r="I7" s="19" t="str">
        <f aca="false">IF(I$21=0,"",I5-I6)</f>
        <v/>
      </c>
      <c r="J7" s="19" t="str">
        <f aca="false">IF(J$21=0,"",J5-J6)</f>
        <v/>
      </c>
      <c r="K7" s="19" t="str">
        <f aca="false">IF(K$21=0,"",K5-K6)</f>
        <v/>
      </c>
      <c r="L7" s="19" t="str">
        <f aca="false">IF(L$21=0,"",L5-L6)</f>
        <v/>
      </c>
      <c r="M7" s="19" t="str">
        <f aca="false">IF(M$21=0,"",M5-M6)</f>
        <v/>
      </c>
      <c r="N7" s="19" t="str">
        <f aca="false">IF(N$21=0,"",N5-N6)</f>
        <v/>
      </c>
      <c r="O7" s="19" t="n">
        <f aca="false">SUM(C7:N7)</f>
        <v>10966800</v>
      </c>
    </row>
    <row r="8" customFormat="false" ht="15" hidden="false" customHeight="false" outlineLevel="0" collapsed="false">
      <c r="A8" s="7" t="str">
        <f aca="false">Orçado!A8</f>
        <v>Custo dos produtos e serviços</v>
      </c>
      <c r="B8" s="7" t="str">
        <f aca="false">Orçado!B8</f>
        <v>Despesa</v>
      </c>
      <c r="C8" s="16" t="n">
        <v>850900</v>
      </c>
      <c r="D8" s="16" t="n">
        <v>902100</v>
      </c>
      <c r="E8" s="16" t="n">
        <v>1022600</v>
      </c>
      <c r="F8" s="16" t="n">
        <v>997100</v>
      </c>
      <c r="G8" s="16" t="n">
        <v>1118900</v>
      </c>
      <c r="H8" s="16" t="n">
        <v>1016500</v>
      </c>
      <c r="I8" s="16"/>
      <c r="J8" s="16"/>
      <c r="K8" s="16"/>
      <c r="L8" s="16"/>
      <c r="M8" s="16"/>
      <c r="N8" s="16"/>
      <c r="O8" s="17" t="n">
        <f aca="false">SUM(C8:N8)</f>
        <v>5908100</v>
      </c>
    </row>
    <row r="9" customFormat="false" ht="15" hidden="false" customHeight="false" outlineLevel="0" collapsed="false">
      <c r="A9" s="8" t="str">
        <f aca="false">Orçado!A9</f>
        <v>Lucro bruto</v>
      </c>
      <c r="B9" s="8" t="str">
        <f aca="false">Orçado!B9</f>
        <v>Resultado</v>
      </c>
      <c r="C9" s="19" t="n">
        <f aca="false">IF(C$21=0,"",C5-C6-C8)</f>
        <v>740000</v>
      </c>
      <c r="D9" s="19" t="n">
        <f aca="false">IF(D$21=0,"",D5-D6-D8)</f>
        <v>818600</v>
      </c>
      <c r="E9" s="19" t="n">
        <f aca="false">IF(E$21=0,"",E5-E6-E8)</f>
        <v>870500</v>
      </c>
      <c r="F9" s="19" t="n">
        <f aca="false">IF(F$21=0,"",F5-F6-F8)</f>
        <v>885700</v>
      </c>
      <c r="G9" s="19" t="n">
        <f aca="false">IF(G$21=0,"",G5-G6-G8)</f>
        <v>932400</v>
      </c>
      <c r="H9" s="19" t="n">
        <f aca="false">IF(H$21=0,"",H5-H6-H8)</f>
        <v>811500</v>
      </c>
      <c r="I9" s="19" t="str">
        <f aca="false">IF(I$21=0,"",I5-I6-I8)</f>
        <v/>
      </c>
      <c r="J9" s="19" t="str">
        <f aca="false">IF(J$21=0,"",J5-J6-J8)</f>
        <v/>
      </c>
      <c r="K9" s="19" t="str">
        <f aca="false">IF(K$21=0,"",K5-K6-K8)</f>
        <v/>
      </c>
      <c r="L9" s="19" t="str">
        <f aca="false">IF(L$21=0,"",L5-L6-L8)</f>
        <v/>
      </c>
      <c r="M9" s="19" t="str">
        <f aca="false">IF(M$21=0,"",M5-M6-M8)</f>
        <v/>
      </c>
      <c r="N9" s="19" t="str">
        <f aca="false">IF(N$21=0,"",N5-N6-N8)</f>
        <v/>
      </c>
      <c r="O9" s="19" t="n">
        <f aca="false">SUM(C9:N9)</f>
        <v>5058700</v>
      </c>
    </row>
    <row r="10" customFormat="false" ht="15" hidden="false" customHeight="false" outlineLevel="0" collapsed="false">
      <c r="A10" s="7" t="str">
        <f aca="false">Orçado!A10</f>
        <v>Pessoal e encargos</v>
      </c>
      <c r="B10" s="7" t="str">
        <f aca="false">Orçado!B10</f>
        <v>Despesa</v>
      </c>
      <c r="C10" s="16" t="n">
        <v>330000</v>
      </c>
      <c r="D10" s="16" t="n">
        <v>330000</v>
      </c>
      <c r="E10" s="16" t="n">
        <v>333300</v>
      </c>
      <c r="F10" s="16" t="n">
        <v>336600</v>
      </c>
      <c r="G10" s="16" t="n">
        <v>358400</v>
      </c>
      <c r="H10" s="16" t="n">
        <v>361900</v>
      </c>
      <c r="I10" s="16"/>
      <c r="J10" s="16"/>
      <c r="K10" s="16"/>
      <c r="L10" s="16"/>
      <c r="M10" s="16"/>
      <c r="N10" s="16"/>
      <c r="O10" s="17" t="n">
        <f aca="false">SUM(C10:N10)</f>
        <v>2050200</v>
      </c>
    </row>
    <row r="11" customFormat="false" ht="15" hidden="false" customHeight="false" outlineLevel="0" collapsed="false">
      <c r="A11" s="7" t="str">
        <f aca="false">Orçado!A11</f>
        <v>Despesas comerciais</v>
      </c>
      <c r="B11" s="7" t="str">
        <f aca="false">Orçado!B11</f>
        <v>Despesa</v>
      </c>
      <c r="C11" s="16" t="n">
        <v>76400</v>
      </c>
      <c r="D11" s="16" t="n">
        <v>86100</v>
      </c>
      <c r="E11" s="16" t="n">
        <v>95500</v>
      </c>
      <c r="F11" s="16" t="n">
        <v>82700</v>
      </c>
      <c r="G11" s="16" t="n">
        <v>101500</v>
      </c>
      <c r="H11" s="16" t="n">
        <v>107000</v>
      </c>
      <c r="I11" s="16"/>
      <c r="J11" s="16"/>
      <c r="K11" s="16"/>
      <c r="L11" s="16"/>
      <c r="M11" s="16"/>
      <c r="N11" s="16"/>
      <c r="O11" s="17" t="n">
        <f aca="false">SUM(C11:N11)</f>
        <v>549200</v>
      </c>
    </row>
    <row r="12" customFormat="false" ht="15" hidden="false" customHeight="false" outlineLevel="0" collapsed="false">
      <c r="A12" s="7" t="str">
        <f aca="false">Orçado!A12</f>
        <v>Despesas administrativas</v>
      </c>
      <c r="B12" s="7" t="str">
        <f aca="false">Orçado!B12</f>
        <v>Despesa</v>
      </c>
      <c r="C12" s="16" t="n">
        <v>90200</v>
      </c>
      <c r="D12" s="16" t="n">
        <v>94800</v>
      </c>
      <c r="E12" s="16" t="n">
        <v>89200</v>
      </c>
      <c r="F12" s="16" t="n">
        <v>97500</v>
      </c>
      <c r="G12" s="16" t="n">
        <v>91100</v>
      </c>
      <c r="H12" s="16" t="n">
        <v>87400</v>
      </c>
      <c r="I12" s="16"/>
      <c r="J12" s="16"/>
      <c r="K12" s="16"/>
      <c r="L12" s="16"/>
      <c r="M12" s="16"/>
      <c r="N12" s="16"/>
      <c r="O12" s="17" t="n">
        <f aca="false">SUM(C12:N12)</f>
        <v>550200</v>
      </c>
    </row>
    <row r="13" customFormat="false" ht="15" hidden="false" customHeight="false" outlineLevel="0" collapsed="false">
      <c r="A13" s="7" t="str">
        <f aca="false">Orçado!A13</f>
        <v>Ocupação e utilidades</v>
      </c>
      <c r="B13" s="7" t="str">
        <f aca="false">Orçado!B13</f>
        <v>Despesa</v>
      </c>
      <c r="C13" s="16" t="n">
        <v>54000</v>
      </c>
      <c r="D13" s="16" t="n">
        <v>54000</v>
      </c>
      <c r="E13" s="16" t="n">
        <v>55100</v>
      </c>
      <c r="F13" s="16" t="n">
        <v>54000</v>
      </c>
      <c r="G13" s="16" t="n">
        <v>54500</v>
      </c>
      <c r="H13" s="16" t="n">
        <v>55600</v>
      </c>
      <c r="I13" s="16"/>
      <c r="J13" s="16"/>
      <c r="K13" s="16"/>
      <c r="L13" s="16"/>
      <c r="M13" s="16"/>
      <c r="N13" s="16"/>
      <c r="O13" s="17" t="n">
        <f aca="false">SUM(C13:N13)</f>
        <v>327200</v>
      </c>
    </row>
    <row r="14" customFormat="false" ht="15" hidden="false" customHeight="false" outlineLevel="0" collapsed="false">
      <c r="A14" s="7" t="str">
        <f aca="false">Orçado!A14</f>
        <v>Tecnologia</v>
      </c>
      <c r="B14" s="7" t="str">
        <f aca="false">Orçado!B14</f>
        <v>Despesa</v>
      </c>
      <c r="C14" s="16" t="n">
        <v>31600</v>
      </c>
      <c r="D14" s="16" t="n">
        <v>32200</v>
      </c>
      <c r="E14" s="16" t="n">
        <v>32600</v>
      </c>
      <c r="F14" s="16" t="n">
        <v>34100</v>
      </c>
      <c r="G14" s="16" t="n">
        <v>34700</v>
      </c>
      <c r="H14" s="16" t="n">
        <v>37800</v>
      </c>
      <c r="I14" s="16"/>
      <c r="J14" s="16"/>
      <c r="K14" s="16"/>
      <c r="L14" s="16"/>
      <c r="M14" s="16"/>
      <c r="N14" s="16"/>
      <c r="O14" s="17" t="n">
        <f aca="false">SUM(C14:N14)</f>
        <v>203000</v>
      </c>
    </row>
    <row r="15" customFormat="false" ht="15" hidden="false" customHeight="false" outlineLevel="0" collapsed="false">
      <c r="A15" s="8" t="str">
        <f aca="false">Orçado!A15</f>
        <v>EBITDA</v>
      </c>
      <c r="B15" s="8" t="str">
        <f aca="false">Orçado!B15</f>
        <v>Resultado</v>
      </c>
      <c r="C15" s="19" t="n">
        <f aca="false">IF(C$21=0,"",C5-C6-C8-C10-C11-C12-C13-C14)</f>
        <v>157800</v>
      </c>
      <c r="D15" s="19" t="n">
        <f aca="false">IF(D$21=0,"",D5-D6-D8-D10-D11-D12-D13-D14)</f>
        <v>221500</v>
      </c>
      <c r="E15" s="19" t="n">
        <f aca="false">IF(E$21=0,"",E5-E6-E8-E10-E11-E12-E13-E14)</f>
        <v>264800</v>
      </c>
      <c r="F15" s="19" t="n">
        <f aca="false">IF(F$21=0,"",F5-F6-F8-F10-F11-F12-F13-F14)</f>
        <v>280800</v>
      </c>
      <c r="G15" s="19" t="n">
        <f aca="false">IF(G$21=0,"",G5-G6-G8-G10-G11-G12-G13-G14)</f>
        <v>292200</v>
      </c>
      <c r="H15" s="19" t="n">
        <f aca="false">IF(H$21=0,"",H5-H6-H8-H10-H11-H12-H13-H14)</f>
        <v>161800</v>
      </c>
      <c r="I15" s="19" t="str">
        <f aca="false">IF(I$21=0,"",I5-I6-I8-I10-I11-I12-I13-I14)</f>
        <v/>
      </c>
      <c r="J15" s="19" t="str">
        <f aca="false">IF(J$21=0,"",J5-J6-J8-J10-J11-J12-J13-J14)</f>
        <v/>
      </c>
      <c r="K15" s="19" t="str">
        <f aca="false">IF(K$21=0,"",K5-K6-K8-K10-K11-K12-K13-K14)</f>
        <v/>
      </c>
      <c r="L15" s="19" t="str">
        <f aca="false">IF(L$21=0,"",L5-L6-L8-L10-L11-L12-L13-L14)</f>
        <v/>
      </c>
      <c r="M15" s="19" t="str">
        <f aca="false">IF(M$21=0,"",M5-M6-M8-M10-M11-M12-M13-M14)</f>
        <v/>
      </c>
      <c r="N15" s="19" t="str">
        <f aca="false">IF(N$21=0,"",N5-N6-N8-N10-N11-N12-N13-N14)</f>
        <v/>
      </c>
      <c r="O15" s="19" t="n">
        <f aca="false">SUM(C15:N15)</f>
        <v>1378900</v>
      </c>
    </row>
    <row r="16" customFormat="false" ht="15" hidden="false" customHeight="false" outlineLevel="0" collapsed="false">
      <c r="A16" s="7" t="str">
        <f aca="false">Orçado!A16</f>
        <v>Depreciação e amortização</v>
      </c>
      <c r="B16" s="7" t="str">
        <f aca="false">Orçado!B16</f>
        <v>Despesa</v>
      </c>
      <c r="C16" s="16" t="n">
        <v>28000</v>
      </c>
      <c r="D16" s="16" t="n">
        <v>28000</v>
      </c>
      <c r="E16" s="16" t="n">
        <v>28000</v>
      </c>
      <c r="F16" s="16" t="n">
        <v>28000</v>
      </c>
      <c r="G16" s="16" t="n">
        <v>28000</v>
      </c>
      <c r="H16" s="16" t="n">
        <v>28000</v>
      </c>
      <c r="I16" s="16"/>
      <c r="J16" s="16"/>
      <c r="K16" s="16"/>
      <c r="L16" s="16"/>
      <c r="M16" s="16"/>
      <c r="N16" s="16"/>
      <c r="O16" s="17" t="n">
        <f aca="false">SUM(C16:N16)</f>
        <v>168000</v>
      </c>
    </row>
    <row r="17" customFormat="false" ht="15" hidden="false" customHeight="false" outlineLevel="0" collapsed="false">
      <c r="A17" s="7" t="str">
        <f aca="false">Orçado!A17</f>
        <v>Despesas financeiras líquidas</v>
      </c>
      <c r="B17" s="7" t="str">
        <f aca="false">Orçado!B17</f>
        <v>Despesa</v>
      </c>
      <c r="C17" s="16" t="n">
        <v>21600</v>
      </c>
      <c r="D17" s="16" t="n">
        <v>26400</v>
      </c>
      <c r="E17" s="16" t="n">
        <v>28800</v>
      </c>
      <c r="F17" s="16" t="n">
        <v>25200</v>
      </c>
      <c r="G17" s="16" t="n">
        <v>31200</v>
      </c>
      <c r="H17" s="16" t="n">
        <v>33600</v>
      </c>
      <c r="I17" s="16"/>
      <c r="J17" s="16"/>
      <c r="K17" s="16"/>
      <c r="L17" s="16"/>
      <c r="M17" s="16"/>
      <c r="N17" s="16"/>
      <c r="O17" s="17" t="n">
        <f aca="false">SUM(C17:N17)</f>
        <v>166800</v>
      </c>
    </row>
    <row r="18" customFormat="false" ht="15" hidden="false" customHeight="false" outlineLevel="0" collapsed="false">
      <c r="A18" s="8" t="str">
        <f aca="false">Orçado!A18</f>
        <v>Lucro antes do IR e CSLL</v>
      </c>
      <c r="B18" s="8" t="str">
        <f aca="false">Orçado!B18</f>
        <v>Resultado</v>
      </c>
      <c r="C18" s="19" t="n">
        <f aca="false">IF(C$21=0,"",C5-C6-C8-C10-C11-C12-C13-C14-C16-C17)</f>
        <v>108200</v>
      </c>
      <c r="D18" s="19" t="n">
        <f aca="false">IF(D$21=0,"",D5-D6-D8-D10-D11-D12-D13-D14-D16-D17)</f>
        <v>167100</v>
      </c>
      <c r="E18" s="19" t="n">
        <f aca="false">IF(E$21=0,"",E5-E6-E8-E10-E11-E12-E13-E14-E16-E17)</f>
        <v>208000</v>
      </c>
      <c r="F18" s="19" t="n">
        <f aca="false">IF(F$21=0,"",F5-F6-F8-F10-F11-F12-F13-F14-F16-F17)</f>
        <v>227600</v>
      </c>
      <c r="G18" s="19" t="n">
        <f aca="false">IF(G$21=0,"",G5-G6-G8-G10-G11-G12-G13-G14-G16-G17)</f>
        <v>233000</v>
      </c>
      <c r="H18" s="19" t="n">
        <f aca="false">IF(H$21=0,"",H5-H6-H8-H10-H11-H12-H13-H14-H16-H17)</f>
        <v>100200</v>
      </c>
      <c r="I18" s="19" t="str">
        <f aca="false">IF(I$21=0,"",I5-I6-I8-I10-I11-I12-I13-I14-I16-I17)</f>
        <v/>
      </c>
      <c r="J18" s="19" t="str">
        <f aca="false">IF(J$21=0,"",J5-J6-J8-J10-J11-J12-J13-J14-J16-J17)</f>
        <v/>
      </c>
      <c r="K18" s="19" t="str">
        <f aca="false">IF(K$21=0,"",K5-K6-K8-K10-K11-K12-K13-K14-K16-K17)</f>
        <v/>
      </c>
      <c r="L18" s="19" t="str">
        <f aca="false">IF(L$21=0,"",L5-L6-L8-L10-L11-L12-L13-L14-L16-L17)</f>
        <v/>
      </c>
      <c r="M18" s="19" t="str">
        <f aca="false">IF(M$21=0,"",M5-M6-M8-M10-M11-M12-M13-M14-M16-M17)</f>
        <v/>
      </c>
      <c r="N18" s="19" t="str">
        <f aca="false">IF(N$21=0,"",N5-N6-N8-N10-N11-N12-N13-N14-N16-N17)</f>
        <v/>
      </c>
      <c r="O18" s="19" t="n">
        <f aca="false">SUM(C18:N18)</f>
        <v>1044100</v>
      </c>
    </row>
    <row r="19" customFormat="false" ht="15" hidden="false" customHeight="false" outlineLevel="0" collapsed="false">
      <c r="A19" s="7" t="str">
        <f aca="false">Orçado!A19</f>
        <v>IR e CSLL</v>
      </c>
      <c r="B19" s="7" t="str">
        <f aca="false">Orçado!B19</f>
        <v>Despesa</v>
      </c>
      <c r="C19" s="16" t="n">
        <v>36800</v>
      </c>
      <c r="D19" s="16" t="n">
        <v>56800</v>
      </c>
      <c r="E19" s="16" t="n">
        <v>70700</v>
      </c>
      <c r="F19" s="16" t="n">
        <v>77400</v>
      </c>
      <c r="G19" s="16" t="n">
        <v>79200</v>
      </c>
      <c r="H19" s="16" t="n">
        <v>34100</v>
      </c>
      <c r="I19" s="16"/>
      <c r="J19" s="16"/>
      <c r="K19" s="16"/>
      <c r="L19" s="16"/>
      <c r="M19" s="16"/>
      <c r="N19" s="16"/>
      <c r="O19" s="17" t="n">
        <f aca="false">SUM(C19:N19)</f>
        <v>355000</v>
      </c>
    </row>
    <row r="20" customFormat="false" ht="15" hidden="false" customHeight="false" outlineLevel="0" collapsed="false">
      <c r="A20" s="8" t="str">
        <f aca="false">Orçado!A20</f>
        <v>Lucro líquido</v>
      </c>
      <c r="B20" s="8" t="str">
        <f aca="false">Orçado!B20</f>
        <v>Resultado</v>
      </c>
      <c r="C20" s="19" t="n">
        <f aca="false">IF(C$21=0,"",C5-C6-C8-C10-C11-C12-C13-C14-C16-C17-C19)</f>
        <v>71400</v>
      </c>
      <c r="D20" s="19" t="n">
        <f aca="false">IF(D$21=0,"",D5-D6-D8-D10-D11-D12-D13-D14-D16-D17-D19)</f>
        <v>110300</v>
      </c>
      <c r="E20" s="19" t="n">
        <f aca="false">IF(E$21=0,"",E5-E6-E8-E10-E11-E12-E13-E14-E16-E17-E19)</f>
        <v>137300</v>
      </c>
      <c r="F20" s="19" t="n">
        <f aca="false">IF(F$21=0,"",F5-F6-F8-F10-F11-F12-F13-F14-F16-F17-F19)</f>
        <v>150200</v>
      </c>
      <c r="G20" s="19" t="n">
        <f aca="false">IF(G$21=0,"",G5-G6-G8-G10-G11-G12-G13-G14-G16-G17-G19)</f>
        <v>153800</v>
      </c>
      <c r="H20" s="19" t="n">
        <f aca="false">IF(H$21=0,"",H5-H6-H8-H10-H11-H12-H13-H14-H16-H17-H19)</f>
        <v>66100</v>
      </c>
      <c r="I20" s="19" t="str">
        <f aca="false">IF(I$21=0,"",I5-I6-I8-I10-I11-I12-I13-I14-I16-I17-I19)</f>
        <v/>
      </c>
      <c r="J20" s="19" t="str">
        <f aca="false">IF(J$21=0,"",J5-J6-J8-J10-J11-J12-J13-J14-J16-J17-J19)</f>
        <v/>
      </c>
      <c r="K20" s="19" t="str">
        <f aca="false">IF(K$21=0,"",K5-K6-K8-K10-K11-K12-K13-K14-K16-K17-K19)</f>
        <v/>
      </c>
      <c r="L20" s="19" t="str">
        <f aca="false">IF(L$21=0,"",L5-L6-L8-L10-L11-L12-L13-L14-L16-L17-L19)</f>
        <v/>
      </c>
      <c r="M20" s="19" t="str">
        <f aca="false">IF(M$21=0,"",M5-M6-M8-M10-M11-M12-M13-M14-M16-M17-M19)</f>
        <v/>
      </c>
      <c r="N20" s="19" t="str">
        <f aca="false">IF(N$21=0,"",N5-N6-N8-N10-N11-N12-N13-N14-N16-N17-N19)</f>
        <v/>
      </c>
      <c r="O20" s="19" t="n">
        <f aca="false">SUM(C20:N20)</f>
        <v>689100</v>
      </c>
    </row>
    <row r="21" customFormat="false" ht="15" hidden="false" customHeight="false" outlineLevel="0" collapsed="false">
      <c r="A21" s="20" t="s">
        <v>63</v>
      </c>
      <c r="C21" s="21" t="n">
        <f aca="false">IF(COUNT(C5,C6,C8,C10,C11,C12,C13,C14,C16,C17,C19)&gt;0,1,0)</f>
        <v>1</v>
      </c>
      <c r="D21" s="21" t="n">
        <f aca="false">IF(COUNT(D5,D6,D8,D10,D11,D12,D13,D14,D16,D17,D19)&gt;0,1,0)</f>
        <v>1</v>
      </c>
      <c r="E21" s="21" t="n">
        <f aca="false">IF(COUNT(E5,E6,E8,E10,E11,E12,E13,E14,E16,E17,E19)&gt;0,1,0)</f>
        <v>1</v>
      </c>
      <c r="F21" s="21" t="n">
        <f aca="false">IF(COUNT(F5,F6,F8,F10,F11,F12,F13,F14,F16,F17,F19)&gt;0,1,0)</f>
        <v>1</v>
      </c>
      <c r="G21" s="21" t="n">
        <f aca="false">IF(COUNT(G5,G6,G8,G10,G11,G12,G13,G14,G16,G17,G19)&gt;0,1,0)</f>
        <v>1</v>
      </c>
      <c r="H21" s="21" t="n">
        <f aca="false">IF(COUNT(H5,H6,H8,H10,H11,H12,H13,H14,H16,H17,H19)&gt;0,1,0)</f>
        <v>1</v>
      </c>
      <c r="I21" s="21" t="n">
        <f aca="false">IF(COUNT(I5,I6,I8,I10,I11,I12,I13,I14,I16,I17,I19)&gt;0,1,0)</f>
        <v>0</v>
      </c>
      <c r="J21" s="21" t="n">
        <f aca="false">IF(COUNT(J5,J6,J8,J10,J11,J12,J13,J14,J16,J17,J19)&gt;0,1,0)</f>
        <v>0</v>
      </c>
      <c r="K21" s="21" t="n">
        <f aca="false">IF(COUNT(K5,K6,K8,K10,K11,K12,K13,K14,K16,K17,K19)&gt;0,1,0)</f>
        <v>0</v>
      </c>
      <c r="L21" s="21" t="n">
        <f aca="false">IF(COUNT(L5,L6,L8,L10,L11,L12,L13,L14,L16,L17,L19)&gt;0,1,0)</f>
        <v>0</v>
      </c>
      <c r="M21" s="21" t="n">
        <f aca="false">IF(COUNT(M5,M6,M8,M10,M11,M12,M13,M14,M16,M17,M19)&gt;0,1,0)</f>
        <v>0</v>
      </c>
      <c r="N21" s="21" t="n">
        <f aca="false">IF(COUNT(N5,N6,N8,N10,N11,N12,N13,N14,N16,N17,N19)&gt;0,1,0)</f>
        <v>0</v>
      </c>
      <c r="O21" s="22" t="n">
        <f aca="false">SUM(C21:N21)</f>
        <v>6</v>
      </c>
    </row>
    <row r="23" customFormat="false" ht="15" hidden="false" customHeight="false" outlineLevel="0" collapsed="false">
      <c r="A23" s="11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1"/>
    <col collapsed="false" customWidth="true" hidden="false" outlineLevel="0" max="5" min="3" style="0" width="15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9" min="8" style="0" width="12"/>
  </cols>
  <sheetData>
    <row r="1" customFormat="false" ht="18.55" hidden="false" customHeight="false" outlineLevel="0" collapsed="false">
      <c r="A1" s="1" t="s">
        <v>64</v>
      </c>
    </row>
    <row r="2" customFormat="false" ht="15" hidden="false" customHeight="false" outlineLevel="0" collapsed="false">
      <c r="A2" s="2" t="s">
        <v>65</v>
      </c>
    </row>
    <row r="3" customFormat="false" ht="15" hidden="false" customHeight="false" outlineLevel="0" collapsed="false">
      <c r="A3" s="10" t="s">
        <v>66</v>
      </c>
      <c r="B3" s="23" t="s">
        <v>34</v>
      </c>
      <c r="C3" s="24" t="n">
        <f aca="false">MATCH(B3,Orçado!$C$4:$N$4,0)</f>
        <v>6</v>
      </c>
      <c r="D3" s="25" t="n">
        <f aca="false">INDEX(Realizado!$C$21:$N$21,C3)</f>
        <v>1</v>
      </c>
      <c r="E3" s="26" t="str">
        <f aca="false">IF(D3=0,"Este mês ainda não tem realizado.","Linhas para justificar: "&amp;COUNTIF(I6:I21,"Sim"))</f>
        <v>Linhas para justificar: 8</v>
      </c>
      <c r="G3" s="20" t="str">
        <f aca="false">"Limites: R$ "&amp;FIXED(Comentários!$B$4,0)&amp;" "&amp;IF(Comentários!$B$6="R$ ou %","ou","e")&amp;" "&amp;FIXED(Comentários!$B$5*100,1)&amp;"% (aba Comentários)"</f>
        <v>Limites: R$ 15,000 e 5.0% (aba Comentários)</v>
      </c>
    </row>
    <row r="5" customFormat="false" ht="30" hidden="false" customHeight="true" outlineLevel="0" collapsed="false">
      <c r="A5" s="14" t="s">
        <v>27</v>
      </c>
      <c r="B5" s="15" t="s">
        <v>28</v>
      </c>
      <c r="C5" s="15" t="s">
        <v>24</v>
      </c>
      <c r="D5" s="15" t="s">
        <v>61</v>
      </c>
      <c r="E5" s="15" t="s">
        <v>67</v>
      </c>
      <c r="F5" s="15" t="s">
        <v>68</v>
      </c>
      <c r="G5" s="15" t="s">
        <v>69</v>
      </c>
      <c r="H5" s="15" t="s">
        <v>70</v>
      </c>
      <c r="I5" s="15" t="s">
        <v>71</v>
      </c>
    </row>
    <row r="6" customFormat="false" ht="15" hidden="false" customHeight="false" outlineLevel="0" collapsed="false">
      <c r="A6" s="7" t="str">
        <f aca="false">Orçado!A5</f>
        <v>Receita bruta</v>
      </c>
      <c r="B6" s="7" t="str">
        <f aca="false">Orçado!B5</f>
        <v>Receita</v>
      </c>
      <c r="C6" s="17" t="n">
        <f aca="false">INDEX(Orçado!$C5:$N5,$C$3)</f>
        <v>2191200</v>
      </c>
      <c r="D6" s="17" t="n">
        <f aca="false">IF($D$3=0,"",INDEX(Realizado!$C5:$N5,$C$3))</f>
        <v>2059700</v>
      </c>
      <c r="E6" s="17" t="n">
        <f aca="false">IF(D6="","",D6-C6)</f>
        <v>-131500</v>
      </c>
      <c r="F6" s="27" t="n">
        <f aca="false">IF(OR(D6="",C6=0),"",E6/ABS(C6))</f>
        <v>-0.0600127783862724</v>
      </c>
      <c r="G6" s="28" t="str">
        <f aca="false">IF(D6="","Sem realizado",IF(OR(E6=0,AND(F6&lt;&gt;"",ABS(N(F6))&lt;=Comentários!$B$7)),"Em linha",IF((B6="Despesa")=(E6&gt;0),"Desfavorável","Favorável")))</f>
        <v>Desfavorável</v>
      </c>
      <c r="H6" s="28" t="str">
        <f aca="false">IF(D6="","",IF(G6="Desfavorável",IF(I6="Sim","Vermelho","Amarelo"),"Verde"))</f>
        <v>Vermelho</v>
      </c>
      <c r="I6" s="28" t="str">
        <f aca="false">IF(D6="","",IF(IF(Comentários!$B$6="R$ ou %",OR(ABS(E6)&gt;=Comentários!$B$4,AND(F6&lt;&gt;"",ABS(N(F6))&gt;=Comentários!$B$5)),AND(ABS(E6)&gt;=Comentários!$B$4,OR(F6="",ABS(N(F6))&gt;=Comentários!$B$5))),"Sim","Não"))</f>
        <v>Sim</v>
      </c>
    </row>
    <row r="7" customFormat="false" ht="15" hidden="false" customHeight="false" outlineLevel="0" collapsed="false">
      <c r="A7" s="7" t="str">
        <f aca="false">Orçado!A6</f>
        <v>Deduções e impostos sobre vendas</v>
      </c>
      <c r="B7" s="7" t="str">
        <f aca="false">Orçado!B6</f>
        <v>Despesa</v>
      </c>
      <c r="C7" s="17" t="n">
        <f aca="false">INDEX(Orçado!$C6:$N6,$C$3)</f>
        <v>246500</v>
      </c>
      <c r="D7" s="17" t="n">
        <f aca="false">IF($D$3=0,"",INDEX(Realizado!$C6:$N6,$C$3))</f>
        <v>231700</v>
      </c>
      <c r="E7" s="17" t="n">
        <f aca="false">IF(D7="","",D7-C7)</f>
        <v>-14800</v>
      </c>
      <c r="F7" s="27" t="n">
        <f aca="false">IF(OR(D7="",C7=0),"",E7/ABS(C7))</f>
        <v>-0.0600405679513185</v>
      </c>
      <c r="G7" s="28" t="str">
        <f aca="false">IF(D7="","Sem realizado",IF(OR(E7=0,AND(F7&lt;&gt;"",ABS(N(F7))&lt;=Comentários!$B$7)),"Em linha",IF((B7="Despesa")=(E7&gt;0),"Desfavorável","Favorável")))</f>
        <v>Favorável</v>
      </c>
      <c r="H7" s="28" t="str">
        <f aca="false">IF(D7="","",IF(G7="Desfavorável",IF(I7="Sim","Vermelho","Amarelo"),"Verde"))</f>
        <v>Verde</v>
      </c>
      <c r="I7" s="28" t="str">
        <f aca="false">IF(D7="","",IF(IF(Comentários!$B$6="R$ ou %",OR(ABS(E7)&gt;=Comentários!$B$4,AND(F7&lt;&gt;"",ABS(N(F7))&gt;=Comentários!$B$5)),AND(ABS(E7)&gt;=Comentários!$B$4,OR(F7="",ABS(N(F7))&gt;=Comentários!$B$5))),"Sim","Não"))</f>
        <v>Não</v>
      </c>
    </row>
    <row r="8" customFormat="false" ht="15" hidden="false" customHeight="false" outlineLevel="0" collapsed="false">
      <c r="A8" s="8" t="str">
        <f aca="false">Orçado!A7</f>
        <v>Receita líquida</v>
      </c>
      <c r="B8" s="8" t="str">
        <f aca="false">Orçado!B7</f>
        <v>Resultado</v>
      </c>
      <c r="C8" s="19" t="n">
        <f aca="false">INDEX(Orçado!$C7:$N7,$C$3)</f>
        <v>1944700</v>
      </c>
      <c r="D8" s="19" t="n">
        <f aca="false">IF($D$3=0,"",INDEX(Realizado!$C7:$N7,$C$3))</f>
        <v>1828000</v>
      </c>
      <c r="E8" s="19" t="n">
        <f aca="false">IF(D8="","",D8-C8)</f>
        <v>-116700</v>
      </c>
      <c r="F8" s="29" t="n">
        <f aca="false">IF(OR(D8="",C8=0),"",E8/ABS(C8))</f>
        <v>-0.060009255926364</v>
      </c>
      <c r="G8" s="30" t="str">
        <f aca="false">IF(D8="","Sem realizado",IF(OR(E8=0,AND(F8&lt;&gt;"",ABS(N(F8))&lt;=Comentários!$B$7)),"Em linha",IF((B8="Despesa")=(E8&gt;0),"Desfavorável","Favorável")))</f>
        <v>Desfavorável</v>
      </c>
      <c r="H8" s="30" t="str">
        <f aca="false">IF(D8="","",IF(G8="Desfavorável",IF(I8="Sim","Vermelho","Amarelo"),"Verde"))</f>
        <v>Vermelho</v>
      </c>
      <c r="I8" s="30" t="str">
        <f aca="false">IF(D8="","",IF(IF(Comentários!$B$6="R$ ou %",OR(ABS(E8)&gt;=Comentários!$B$4,AND(F8&lt;&gt;"",ABS(N(F8))&gt;=Comentários!$B$5)),AND(ABS(E8)&gt;=Comentários!$B$4,OR(F8="",ABS(N(F8))&gt;=Comentários!$B$5))),"Sim","Não"))</f>
        <v>Sim</v>
      </c>
    </row>
    <row r="9" customFormat="false" ht="15" hidden="false" customHeight="false" outlineLevel="0" collapsed="false">
      <c r="A9" s="7" t="str">
        <f aca="false">Orçado!A8</f>
        <v>Custo dos produtos e serviços</v>
      </c>
      <c r="B9" s="7" t="str">
        <f aca="false">Orçado!B8</f>
        <v>Despesa</v>
      </c>
      <c r="C9" s="17" t="n">
        <f aca="false">INDEX(Orçado!$C8:$N8,$C$3)</f>
        <v>1029900</v>
      </c>
      <c r="D9" s="17" t="n">
        <f aca="false">IF($D$3=0,"",INDEX(Realizado!$C8:$N8,$C$3))</f>
        <v>1016500</v>
      </c>
      <c r="E9" s="17" t="n">
        <f aca="false">IF(D9="","",D9-C9)</f>
        <v>-13400</v>
      </c>
      <c r="F9" s="27" t="n">
        <f aca="false">IF(OR(D9="",C9=0),"",E9/ABS(C9))</f>
        <v>-0.0130109719390232</v>
      </c>
      <c r="G9" s="28" t="str">
        <f aca="false">IF(D9="","Sem realizado",IF(OR(E9=0,AND(F9&lt;&gt;"",ABS(N(F9))&lt;=Comentários!$B$7)),"Em linha",IF((B9="Despesa")=(E9&gt;0),"Desfavorável","Favorável")))</f>
        <v>Favorável</v>
      </c>
      <c r="H9" s="28" t="str">
        <f aca="false">IF(D9="","",IF(G9="Desfavorável",IF(I9="Sim","Vermelho","Amarelo"),"Verde"))</f>
        <v>Verde</v>
      </c>
      <c r="I9" s="28" t="str">
        <f aca="false">IF(D9="","",IF(IF(Comentários!$B$6="R$ ou %",OR(ABS(E9)&gt;=Comentários!$B$4,AND(F9&lt;&gt;"",ABS(N(F9))&gt;=Comentários!$B$5)),AND(ABS(E9)&gt;=Comentários!$B$4,OR(F9="",ABS(N(F9))&gt;=Comentários!$B$5))),"Sim","Não"))</f>
        <v>Não</v>
      </c>
    </row>
    <row r="10" customFormat="false" ht="15" hidden="false" customHeight="false" outlineLevel="0" collapsed="false">
      <c r="A10" s="8" t="str">
        <f aca="false">Orçado!A9</f>
        <v>Lucro bruto</v>
      </c>
      <c r="B10" s="8" t="str">
        <f aca="false">Orçado!B9</f>
        <v>Resultado</v>
      </c>
      <c r="C10" s="19" t="n">
        <f aca="false">INDEX(Orçado!$C9:$N9,$C$3)</f>
        <v>914800</v>
      </c>
      <c r="D10" s="19" t="n">
        <f aca="false">IF($D$3=0,"",INDEX(Realizado!$C9:$N9,$C$3))</f>
        <v>811500</v>
      </c>
      <c r="E10" s="19" t="n">
        <f aca="false">IF(D10="","",D10-C10)</f>
        <v>-103300</v>
      </c>
      <c r="F10" s="29" t="n">
        <f aca="false">IF(OR(D10="",C10=0),"",E10/ABS(C10))</f>
        <v>-0.112920857017927</v>
      </c>
      <c r="G10" s="30" t="str">
        <f aca="false">IF(D10="","Sem realizado",IF(OR(E10=0,AND(F10&lt;&gt;"",ABS(N(F10))&lt;=Comentários!$B$7)),"Em linha",IF((B10="Despesa")=(E10&gt;0),"Desfavorável","Favorável")))</f>
        <v>Desfavorável</v>
      </c>
      <c r="H10" s="30" t="str">
        <f aca="false">IF(D10="","",IF(G10="Desfavorável",IF(I10="Sim","Vermelho","Amarelo"),"Verde"))</f>
        <v>Vermelho</v>
      </c>
      <c r="I10" s="30" t="str">
        <f aca="false">IF(D10="","",IF(IF(Comentários!$B$6="R$ ou %",OR(ABS(E10)&gt;=Comentários!$B$4,AND(F10&lt;&gt;"",ABS(N(F10))&gt;=Comentários!$B$5)),AND(ABS(E10)&gt;=Comentários!$B$4,OR(F10="",ABS(N(F10))&gt;=Comentários!$B$5))),"Sim","Não"))</f>
        <v>Sim</v>
      </c>
    </row>
    <row r="11" customFormat="false" ht="15" hidden="false" customHeight="false" outlineLevel="0" collapsed="false">
      <c r="A11" s="7" t="str">
        <f aca="false">Orçado!A10</f>
        <v>Pessoal e encargos</v>
      </c>
      <c r="B11" s="7" t="str">
        <f aca="false">Orçado!B10</f>
        <v>Despesa</v>
      </c>
      <c r="C11" s="17" t="n">
        <f aca="false">INDEX(Orçado!$C10:$N10,$C$3)</f>
        <v>348000</v>
      </c>
      <c r="D11" s="17" t="n">
        <f aca="false">IF($D$3=0,"",INDEX(Realizado!$C10:$N10,$C$3))</f>
        <v>361900</v>
      </c>
      <c r="E11" s="17" t="n">
        <f aca="false">IF(D11="","",D11-C11)</f>
        <v>13900</v>
      </c>
      <c r="F11" s="27" t="n">
        <f aca="false">IF(OR(D11="",C11=0),"",E11/ABS(C11))</f>
        <v>0.0399425287356322</v>
      </c>
      <c r="G11" s="28" t="str">
        <f aca="false">IF(D11="","Sem realizado",IF(OR(E11=0,AND(F11&lt;&gt;"",ABS(N(F11))&lt;=Comentários!$B$7)),"Em linha",IF((B11="Despesa")=(E11&gt;0),"Desfavorável","Favorável")))</f>
        <v>Desfavorável</v>
      </c>
      <c r="H11" s="28" t="str">
        <f aca="false">IF(D11="","",IF(G11="Desfavorável",IF(I11="Sim","Vermelho","Amarelo"),"Verde"))</f>
        <v>Amarelo</v>
      </c>
      <c r="I11" s="28" t="str">
        <f aca="false">IF(D11="","",IF(IF(Comentários!$B$6="R$ ou %",OR(ABS(E11)&gt;=Comentários!$B$4,AND(F11&lt;&gt;"",ABS(N(F11))&gt;=Comentários!$B$5)),AND(ABS(E11)&gt;=Comentários!$B$4,OR(F11="",ABS(N(F11))&gt;=Comentários!$B$5))),"Sim","Não"))</f>
        <v>Não</v>
      </c>
    </row>
    <row r="12" customFormat="false" ht="15" hidden="false" customHeight="false" outlineLevel="0" collapsed="false">
      <c r="A12" s="7" t="str">
        <f aca="false">Orçado!A11</f>
        <v>Despesas comerciais</v>
      </c>
      <c r="B12" s="7" t="str">
        <f aca="false">Orçado!B11</f>
        <v>Despesa</v>
      </c>
      <c r="C12" s="17" t="n">
        <f aca="false">INDEX(Orçado!$C11:$N11,$C$3)</f>
        <v>90700</v>
      </c>
      <c r="D12" s="17" t="n">
        <f aca="false">IF($D$3=0,"",INDEX(Realizado!$C11:$N11,$C$3))</f>
        <v>107000</v>
      </c>
      <c r="E12" s="17" t="n">
        <f aca="false">IF(D12="","",D12-C12)</f>
        <v>16300</v>
      </c>
      <c r="F12" s="27" t="n">
        <f aca="false">IF(OR(D12="",C12=0),"",E12/ABS(C12))</f>
        <v>0.179713340683572</v>
      </c>
      <c r="G12" s="28" t="str">
        <f aca="false">IF(D12="","Sem realizado",IF(OR(E12=0,AND(F12&lt;&gt;"",ABS(N(F12))&lt;=Comentários!$B$7)),"Em linha",IF((B12="Despesa")=(E12&gt;0),"Desfavorável","Favorável")))</f>
        <v>Desfavorável</v>
      </c>
      <c r="H12" s="28" t="str">
        <f aca="false">IF(D12="","",IF(G12="Desfavorável",IF(I12="Sim","Vermelho","Amarelo"),"Verde"))</f>
        <v>Vermelho</v>
      </c>
      <c r="I12" s="28" t="str">
        <f aca="false">IF(D12="","",IF(IF(Comentários!$B$6="R$ ou %",OR(ABS(E12)&gt;=Comentários!$B$4,AND(F12&lt;&gt;"",ABS(N(F12))&gt;=Comentários!$B$5)),AND(ABS(E12)&gt;=Comentários!$B$4,OR(F12="",ABS(N(F12))&gt;=Comentários!$B$5))),"Sim","Não"))</f>
        <v>Sim</v>
      </c>
    </row>
    <row r="13" customFormat="false" ht="15" hidden="false" customHeight="false" outlineLevel="0" collapsed="false">
      <c r="A13" s="7" t="str">
        <f aca="false">Orçado!A12</f>
        <v>Despesas administrativas</v>
      </c>
      <c r="B13" s="7" t="str">
        <f aca="false">Orçado!B12</f>
        <v>Despesa</v>
      </c>
      <c r="C13" s="17" t="n">
        <f aca="false">INDEX(Orçado!$C12:$N12,$C$3)</f>
        <v>92000</v>
      </c>
      <c r="D13" s="17" t="n">
        <f aca="false">IF($D$3=0,"",INDEX(Realizado!$C12:$N12,$C$3))</f>
        <v>87400</v>
      </c>
      <c r="E13" s="17" t="n">
        <f aca="false">IF(D13="","",D13-C13)</f>
        <v>-4600</v>
      </c>
      <c r="F13" s="27" t="n">
        <f aca="false">IF(OR(D13="",C13=0),"",E13/ABS(C13))</f>
        <v>-0.05</v>
      </c>
      <c r="G13" s="28" t="str">
        <f aca="false">IF(D13="","Sem realizado",IF(OR(E13=0,AND(F13&lt;&gt;"",ABS(N(F13))&lt;=Comentários!$B$7)),"Em linha",IF((B13="Despesa")=(E13&gt;0),"Desfavorável","Favorável")))</f>
        <v>Favorável</v>
      </c>
      <c r="H13" s="28" t="str">
        <f aca="false">IF(D13="","",IF(G13="Desfavorável",IF(I13="Sim","Vermelho","Amarelo"),"Verde"))</f>
        <v>Verde</v>
      </c>
      <c r="I13" s="28" t="str">
        <f aca="false">IF(D13="","",IF(IF(Comentários!$B$6="R$ ou %",OR(ABS(E13)&gt;=Comentários!$B$4,AND(F13&lt;&gt;"",ABS(N(F13))&gt;=Comentários!$B$5)),AND(ABS(E13)&gt;=Comentários!$B$4,OR(F13="",ABS(N(F13))&gt;=Comentários!$B$5))),"Sim","Não"))</f>
        <v>Não</v>
      </c>
    </row>
    <row r="14" customFormat="false" ht="15" hidden="false" customHeight="false" outlineLevel="0" collapsed="false">
      <c r="A14" s="7" t="str">
        <f aca="false">Orçado!A13</f>
        <v>Ocupação e utilidades</v>
      </c>
      <c r="B14" s="7" t="str">
        <f aca="false">Orçado!B13</f>
        <v>Despesa</v>
      </c>
      <c r="C14" s="17" t="n">
        <f aca="false">INDEX(Orçado!$C13:$N13,$C$3)</f>
        <v>54000</v>
      </c>
      <c r="D14" s="17" t="n">
        <f aca="false">IF($D$3=0,"",INDEX(Realizado!$C13:$N13,$C$3))</f>
        <v>55600</v>
      </c>
      <c r="E14" s="17" t="n">
        <f aca="false">IF(D14="","",D14-C14)</f>
        <v>1600</v>
      </c>
      <c r="F14" s="27" t="n">
        <f aca="false">IF(OR(D14="",C14=0),"",E14/ABS(C14))</f>
        <v>0.0296296296296296</v>
      </c>
      <c r="G14" s="28" t="str">
        <f aca="false">IF(D14="","Sem realizado",IF(OR(E14=0,AND(F14&lt;&gt;"",ABS(N(F14))&lt;=Comentários!$B$7)),"Em linha",IF((B14="Despesa")=(E14&gt;0),"Desfavorável","Favorável")))</f>
        <v>Desfavorável</v>
      </c>
      <c r="H14" s="28" t="str">
        <f aca="false">IF(D14="","",IF(G14="Desfavorável",IF(I14="Sim","Vermelho","Amarelo"),"Verde"))</f>
        <v>Amarelo</v>
      </c>
      <c r="I14" s="28" t="str">
        <f aca="false">IF(D14="","",IF(IF(Comentários!$B$6="R$ ou %",OR(ABS(E14)&gt;=Comentários!$B$4,AND(F14&lt;&gt;"",ABS(N(F14))&gt;=Comentários!$B$5)),AND(ABS(E14)&gt;=Comentários!$B$4,OR(F14="",ABS(N(F14))&gt;=Comentários!$B$5))),"Sim","Não"))</f>
        <v>Não</v>
      </c>
    </row>
    <row r="15" customFormat="false" ht="15" hidden="false" customHeight="false" outlineLevel="0" collapsed="false">
      <c r="A15" s="7" t="str">
        <f aca="false">Orçado!A14</f>
        <v>Tecnologia</v>
      </c>
      <c r="B15" s="7" t="str">
        <f aca="false">Orçado!B14</f>
        <v>Despesa</v>
      </c>
      <c r="C15" s="17" t="n">
        <f aca="false">INDEX(Orçado!$C14:$N14,$C$3)</f>
        <v>31000</v>
      </c>
      <c r="D15" s="17" t="n">
        <f aca="false">IF($D$3=0,"",INDEX(Realizado!$C14:$N14,$C$3))</f>
        <v>37800</v>
      </c>
      <c r="E15" s="17" t="n">
        <f aca="false">IF(D15="","",D15-C15)</f>
        <v>6800</v>
      </c>
      <c r="F15" s="27" t="n">
        <f aca="false">IF(OR(D15="",C15=0),"",E15/ABS(C15))</f>
        <v>0.219354838709677</v>
      </c>
      <c r="G15" s="28" t="str">
        <f aca="false">IF(D15="","Sem realizado",IF(OR(E15=0,AND(F15&lt;&gt;"",ABS(N(F15))&lt;=Comentários!$B$7)),"Em linha",IF((B15="Despesa")=(E15&gt;0),"Desfavorável","Favorável")))</f>
        <v>Desfavorável</v>
      </c>
      <c r="H15" s="28" t="str">
        <f aca="false">IF(D15="","",IF(G15="Desfavorável",IF(I15="Sim","Vermelho","Amarelo"),"Verde"))</f>
        <v>Amarelo</v>
      </c>
      <c r="I15" s="28" t="str">
        <f aca="false">IF(D15="","",IF(IF(Comentários!$B$6="R$ ou %",OR(ABS(E15)&gt;=Comentários!$B$4,AND(F15&lt;&gt;"",ABS(N(F15))&gt;=Comentários!$B$5)),AND(ABS(E15)&gt;=Comentários!$B$4,OR(F15="",ABS(N(F15))&gt;=Comentários!$B$5))),"Sim","Não"))</f>
        <v>Não</v>
      </c>
    </row>
    <row r="16" customFormat="false" ht="15" hidden="false" customHeight="false" outlineLevel="0" collapsed="false">
      <c r="A16" s="8" t="str">
        <f aca="false">Orçado!A15</f>
        <v>EBITDA</v>
      </c>
      <c r="B16" s="8" t="str">
        <f aca="false">Orçado!B15</f>
        <v>Resultado</v>
      </c>
      <c r="C16" s="19" t="n">
        <f aca="false">INDEX(Orçado!$C15:$N15,$C$3)</f>
        <v>299100</v>
      </c>
      <c r="D16" s="19" t="n">
        <f aca="false">IF($D$3=0,"",INDEX(Realizado!$C15:$N15,$C$3))</f>
        <v>161800</v>
      </c>
      <c r="E16" s="19" t="n">
        <f aca="false">IF(D16="","",D16-C16)</f>
        <v>-137300</v>
      </c>
      <c r="F16" s="29" t="n">
        <f aca="false">IF(OR(D16="",C16=0),"",E16/ABS(C16))</f>
        <v>-0.459043798060849</v>
      </c>
      <c r="G16" s="30" t="str">
        <f aca="false">IF(D16="","Sem realizado",IF(OR(E16=0,AND(F16&lt;&gt;"",ABS(N(F16))&lt;=Comentários!$B$7)),"Em linha",IF((B16="Despesa")=(E16&gt;0),"Desfavorável","Favorável")))</f>
        <v>Desfavorável</v>
      </c>
      <c r="H16" s="30" t="str">
        <f aca="false">IF(D16="","",IF(G16="Desfavorável",IF(I16="Sim","Vermelho","Amarelo"),"Verde"))</f>
        <v>Vermelho</v>
      </c>
      <c r="I16" s="30" t="str">
        <f aca="false">IF(D16="","",IF(IF(Comentários!$B$6="R$ ou %",OR(ABS(E16)&gt;=Comentários!$B$4,AND(F16&lt;&gt;"",ABS(N(F16))&gt;=Comentários!$B$5)),AND(ABS(E16)&gt;=Comentários!$B$4,OR(F16="",ABS(N(F16))&gt;=Comentários!$B$5))),"Sim","Não"))</f>
        <v>Sim</v>
      </c>
    </row>
    <row r="17" customFormat="false" ht="15" hidden="false" customHeight="false" outlineLevel="0" collapsed="false">
      <c r="A17" s="7" t="str">
        <f aca="false">Orçado!A16</f>
        <v>Depreciação e amortização</v>
      </c>
      <c r="B17" s="7" t="str">
        <f aca="false">Orçado!B16</f>
        <v>Despesa</v>
      </c>
      <c r="C17" s="17" t="n">
        <f aca="false">INDEX(Orçado!$C16:$N16,$C$3)</f>
        <v>28000</v>
      </c>
      <c r="D17" s="17" t="n">
        <f aca="false">IF($D$3=0,"",INDEX(Realizado!$C16:$N16,$C$3))</f>
        <v>28000</v>
      </c>
      <c r="E17" s="17" t="n">
        <f aca="false">IF(D17="","",D17-C17)</f>
        <v>0</v>
      </c>
      <c r="F17" s="27" t="n">
        <f aca="false">IF(OR(D17="",C17=0),"",E17/ABS(C17))</f>
        <v>0</v>
      </c>
      <c r="G17" s="28" t="str">
        <f aca="false">IF(D17="","Sem realizado",IF(OR(E17=0,AND(F17&lt;&gt;"",ABS(N(F17))&lt;=Comentários!$B$7)),"Em linha",IF((B17="Despesa")=(E17&gt;0),"Desfavorável","Favorável")))</f>
        <v>Em linha</v>
      </c>
      <c r="H17" s="28" t="str">
        <f aca="false">IF(D17="","",IF(G17="Desfavorável",IF(I17="Sim","Vermelho","Amarelo"),"Verde"))</f>
        <v>Verde</v>
      </c>
      <c r="I17" s="28" t="str">
        <f aca="false">IF(D17="","",IF(IF(Comentários!$B$6="R$ ou %",OR(ABS(E17)&gt;=Comentários!$B$4,AND(F17&lt;&gt;"",ABS(N(F17))&gt;=Comentários!$B$5)),AND(ABS(E17)&gt;=Comentários!$B$4,OR(F17="",ABS(N(F17))&gt;=Comentários!$B$5))),"Sim","Não"))</f>
        <v>Não</v>
      </c>
    </row>
    <row r="18" customFormat="false" ht="15" hidden="false" customHeight="false" outlineLevel="0" collapsed="false">
      <c r="A18" s="7" t="str">
        <f aca="false">Orçado!A17</f>
        <v>Despesas financeiras líquidas</v>
      </c>
      <c r="B18" s="7" t="str">
        <f aca="false">Orçado!B17</f>
        <v>Despesa</v>
      </c>
      <c r="C18" s="17" t="n">
        <f aca="false">INDEX(Orçado!$C17:$N17,$C$3)</f>
        <v>24000</v>
      </c>
      <c r="D18" s="17" t="n">
        <f aca="false">IF($D$3=0,"",INDEX(Realizado!$C17:$N17,$C$3))</f>
        <v>33600</v>
      </c>
      <c r="E18" s="17" t="n">
        <f aca="false">IF(D18="","",D18-C18)</f>
        <v>9600</v>
      </c>
      <c r="F18" s="27" t="n">
        <f aca="false">IF(OR(D18="",C18=0),"",E18/ABS(C18))</f>
        <v>0.4</v>
      </c>
      <c r="G18" s="28" t="str">
        <f aca="false">IF(D18="","Sem realizado",IF(OR(E18=0,AND(F18&lt;&gt;"",ABS(N(F18))&lt;=Comentários!$B$7)),"Em linha",IF((B18="Despesa")=(E18&gt;0),"Desfavorável","Favorável")))</f>
        <v>Desfavorável</v>
      </c>
      <c r="H18" s="28" t="str">
        <f aca="false">IF(D18="","",IF(G18="Desfavorável",IF(I18="Sim","Vermelho","Amarelo"),"Verde"))</f>
        <v>Amarelo</v>
      </c>
      <c r="I18" s="28" t="str">
        <f aca="false">IF(D18="","",IF(IF(Comentários!$B$6="R$ ou %",OR(ABS(E18)&gt;=Comentários!$B$4,AND(F18&lt;&gt;"",ABS(N(F18))&gt;=Comentários!$B$5)),AND(ABS(E18)&gt;=Comentários!$B$4,OR(F18="",ABS(N(F18))&gt;=Comentários!$B$5))),"Sim","Não"))</f>
        <v>Não</v>
      </c>
    </row>
    <row r="19" customFormat="false" ht="15" hidden="false" customHeight="false" outlineLevel="0" collapsed="false">
      <c r="A19" s="8" t="str">
        <f aca="false">Orçado!A18</f>
        <v>Lucro antes do IR e CSLL</v>
      </c>
      <c r="B19" s="8" t="str">
        <f aca="false">Orçado!B18</f>
        <v>Resultado</v>
      </c>
      <c r="C19" s="19" t="n">
        <f aca="false">INDEX(Orçado!$C18:$N18,$C$3)</f>
        <v>247100</v>
      </c>
      <c r="D19" s="19" t="n">
        <f aca="false">IF($D$3=0,"",INDEX(Realizado!$C18:$N18,$C$3))</f>
        <v>100200</v>
      </c>
      <c r="E19" s="19" t="n">
        <f aca="false">IF(D19="","",D19-C19)</f>
        <v>-146900</v>
      </c>
      <c r="F19" s="29" t="n">
        <f aca="false">IF(OR(D19="",C19=0),"",E19/ABS(C19))</f>
        <v>-0.594496155402671</v>
      </c>
      <c r="G19" s="30" t="str">
        <f aca="false">IF(D19="","Sem realizado",IF(OR(E19=0,AND(F19&lt;&gt;"",ABS(N(F19))&lt;=Comentários!$B$7)),"Em linha",IF((B19="Despesa")=(E19&gt;0),"Desfavorável","Favorável")))</f>
        <v>Desfavorável</v>
      </c>
      <c r="H19" s="30" t="str">
        <f aca="false">IF(D19="","",IF(G19="Desfavorável",IF(I19="Sim","Vermelho","Amarelo"),"Verde"))</f>
        <v>Vermelho</v>
      </c>
      <c r="I19" s="30" t="str">
        <f aca="false">IF(D19="","",IF(IF(Comentários!$B$6="R$ ou %",OR(ABS(E19)&gt;=Comentários!$B$4,AND(F19&lt;&gt;"",ABS(N(F19))&gt;=Comentários!$B$5)),AND(ABS(E19)&gt;=Comentários!$B$4,OR(F19="",ABS(N(F19))&gt;=Comentários!$B$5))),"Sim","Não"))</f>
        <v>Sim</v>
      </c>
    </row>
    <row r="20" customFormat="false" ht="15" hidden="false" customHeight="false" outlineLevel="0" collapsed="false">
      <c r="A20" s="7" t="str">
        <f aca="false">Orçado!A19</f>
        <v>IR e CSLL</v>
      </c>
      <c r="B20" s="7" t="str">
        <f aca="false">Orçado!B19</f>
        <v>Despesa</v>
      </c>
      <c r="C20" s="17" t="n">
        <f aca="false">INDEX(Orçado!$C19:$N19,$C$3)</f>
        <v>84000</v>
      </c>
      <c r="D20" s="17" t="n">
        <f aca="false">IF($D$3=0,"",INDEX(Realizado!$C19:$N19,$C$3))</f>
        <v>34100</v>
      </c>
      <c r="E20" s="17" t="n">
        <f aca="false">IF(D20="","",D20-C20)</f>
        <v>-49900</v>
      </c>
      <c r="F20" s="27" t="n">
        <f aca="false">IF(OR(D20="",C20=0),"",E20/ABS(C20))</f>
        <v>-0.594047619047619</v>
      </c>
      <c r="G20" s="28" t="str">
        <f aca="false">IF(D20="","Sem realizado",IF(OR(E20=0,AND(F20&lt;&gt;"",ABS(N(F20))&lt;=Comentários!$B$7)),"Em linha",IF((B20="Despesa")=(E20&gt;0),"Desfavorável","Favorável")))</f>
        <v>Favorável</v>
      </c>
      <c r="H20" s="28" t="str">
        <f aca="false">IF(D20="","",IF(G20="Desfavorável",IF(I20="Sim","Vermelho","Amarelo"),"Verde"))</f>
        <v>Verde</v>
      </c>
      <c r="I20" s="28" t="str">
        <f aca="false">IF(D20="","",IF(IF(Comentários!$B$6="R$ ou %",OR(ABS(E20)&gt;=Comentários!$B$4,AND(F20&lt;&gt;"",ABS(N(F20))&gt;=Comentários!$B$5)),AND(ABS(E20)&gt;=Comentários!$B$4,OR(F20="",ABS(N(F20))&gt;=Comentários!$B$5))),"Sim","Não"))</f>
        <v>Sim</v>
      </c>
    </row>
    <row r="21" customFormat="false" ht="15" hidden="false" customHeight="false" outlineLevel="0" collapsed="false">
      <c r="A21" s="8" t="str">
        <f aca="false">Orçado!A20</f>
        <v>Lucro líquido</v>
      </c>
      <c r="B21" s="8" t="str">
        <f aca="false">Orçado!B20</f>
        <v>Resultado</v>
      </c>
      <c r="C21" s="19" t="n">
        <f aca="false">INDEX(Orçado!$C20:$N20,$C$3)</f>
        <v>163100</v>
      </c>
      <c r="D21" s="19" t="n">
        <f aca="false">IF($D$3=0,"",INDEX(Realizado!$C20:$N20,$C$3))</f>
        <v>66100</v>
      </c>
      <c r="E21" s="19" t="n">
        <f aca="false">IF(D21="","",D21-C21)</f>
        <v>-97000</v>
      </c>
      <c r="F21" s="29" t="n">
        <f aca="false">IF(OR(D21="",C21=0),"",E21/ABS(C21))</f>
        <v>-0.594727161250766</v>
      </c>
      <c r="G21" s="30" t="str">
        <f aca="false">IF(D21="","Sem realizado",IF(OR(E21=0,AND(F21&lt;&gt;"",ABS(N(F21))&lt;=Comentários!$B$7)),"Em linha",IF((B21="Despesa")=(E21&gt;0),"Desfavorável","Favorável")))</f>
        <v>Desfavorável</v>
      </c>
      <c r="H21" s="30" t="str">
        <f aca="false">IF(D21="","",IF(G21="Desfavorável",IF(I21="Sim","Vermelho","Amarelo"),"Verde"))</f>
        <v>Vermelho</v>
      </c>
      <c r="I21" s="30" t="str">
        <f aca="false">IF(D21="","",IF(IF(Comentários!$B$6="R$ ou %",OR(ABS(E21)&gt;=Comentários!$B$4,AND(F21&lt;&gt;"",ABS(N(F21))&gt;=Comentários!$B$5)),AND(ABS(E21)&gt;=Comentários!$B$4,OR(F21="",ABS(N(F21))&gt;=Comentários!$B$5))),"Sim","Não"))</f>
        <v>Sim</v>
      </c>
    </row>
    <row r="23" customFormat="false" ht="15" hidden="false" customHeight="false" outlineLevel="0" collapsed="false">
      <c r="A23" s="11" t="s">
        <v>23</v>
      </c>
    </row>
  </sheetData>
  <conditionalFormatting sqref="G6:G21">
    <cfRule type="cellIs" priority="2" operator="equal" aboveAverage="0" equalAverage="0" bottom="0" percent="0" rank="0" text="" dxfId="0">
      <formula>"Favorável"</formula>
    </cfRule>
    <cfRule type="cellIs" priority="3" operator="equal" aboveAverage="0" equalAverage="0" bottom="0" percent="0" rank="0" text="" dxfId="1">
      <formula>"Desfavorável"</formula>
    </cfRule>
  </conditionalFormatting>
  <conditionalFormatting sqref="H6:H21">
    <cfRule type="cellIs" priority="4" operator="equal" aboveAverage="0" equalAverage="0" bottom="0" percent="0" rank="0" text="" dxfId="2">
      <formula>"Verde"</formula>
    </cfRule>
    <cfRule type="cellIs" priority="5" operator="equal" aboveAverage="0" equalAverage="0" bottom="0" percent="0" rank="0" text="" dxfId="3">
      <formula>"Amarelo"</formula>
    </cfRule>
    <cfRule type="cellIs" priority="6" operator="equal" aboveAverage="0" equalAverage="0" bottom="0" percent="0" rank="0" text="" dxfId="4">
      <formula>"Vermelho"</formula>
    </cfRule>
  </conditionalFormatting>
  <conditionalFormatting sqref="I6:I21">
    <cfRule type="cellIs" priority="7" operator="equal" aboveAverage="0" equalAverage="0" bottom="0" percent="0" rank="0" text="" dxfId="5">
      <formula>"Sim"</formula>
    </cfRule>
  </conditionalFormatting>
  <dataValidations count="1">
    <dataValidation allowBlank="false" error="Escolha um mês da lista." errorStyle="stop" operator="between" showDropDown="false" showErrorMessage="true" showInputMessage="false" sqref="B3" type="list">
      <formula1>"Jan,Fev,Mar,Abr,Mai,Jun,Jul,Ago,Set,Out,Nov,Dez"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1"/>
    <col collapsed="false" customWidth="true" hidden="false" outlineLevel="0" max="4" min="3" style="0" width="16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6"/>
    <col collapsed="false" customWidth="true" hidden="false" outlineLevel="0" max="9" min="9" style="0" width="12"/>
  </cols>
  <sheetData>
    <row r="1" customFormat="false" ht="18.55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3" customFormat="false" ht="15" hidden="false" customHeight="false" outlineLevel="0" collapsed="false">
      <c r="A3" s="10" t="s">
        <v>74</v>
      </c>
      <c r="B3" s="23" t="s">
        <v>34</v>
      </c>
      <c r="C3" s="24" t="n">
        <f aca="false">MATCH(B3,Orçado!$C$4:$N$4,0)</f>
        <v>6</v>
      </c>
      <c r="D3" s="31" t="n">
        <f aca="false">SUMIF(Realizado!$C$3:$N$3,"&lt;="&amp;C3,Realizado!$C$21:$N$21)</f>
        <v>6</v>
      </c>
      <c r="E3" s="26" t="str">
        <f aca="false">IF(D3&lt;C3,"Atenção: há meses sem realizado no período, o comparativo fica distorcido.","Período completo: "&amp;C3&amp;" meses.")</f>
        <v>Período completo: 6 meses.</v>
      </c>
    </row>
    <row r="5" customFormat="false" ht="30" hidden="false" customHeight="true" outlineLevel="0" collapsed="false">
      <c r="A5" s="14" t="s">
        <v>27</v>
      </c>
      <c r="B5" s="15" t="s">
        <v>28</v>
      </c>
      <c r="C5" s="15" t="s">
        <v>75</v>
      </c>
      <c r="D5" s="15" t="s">
        <v>76</v>
      </c>
      <c r="E5" s="15" t="s">
        <v>67</v>
      </c>
      <c r="F5" s="15" t="s">
        <v>68</v>
      </c>
      <c r="G5" s="15" t="s">
        <v>69</v>
      </c>
      <c r="H5" s="15" t="s">
        <v>77</v>
      </c>
      <c r="I5" s="15" t="s">
        <v>78</v>
      </c>
    </row>
    <row r="6" customFormat="false" ht="15" hidden="false" customHeight="false" outlineLevel="0" collapsed="false">
      <c r="A6" s="7" t="str">
        <f aca="false">Orçado!A5</f>
        <v>Receita bruta</v>
      </c>
      <c r="B6" s="7" t="str">
        <f aca="false">Orçado!B5</f>
        <v>Receita</v>
      </c>
      <c r="C6" s="17" t="n">
        <f aca="false">SUMIF(Orçado!$C$3:$N$3,"&lt;="&amp;$C$3,Orçado!$C5:$N5)</f>
        <v>12460800</v>
      </c>
      <c r="D6" s="17" t="n">
        <f aca="false">IF($D$3=0,"",SUMIF(Realizado!$C$3:$N$3,"&lt;="&amp;$C$3,Realizado!$C5:$N5))</f>
        <v>12357000</v>
      </c>
      <c r="E6" s="17" t="n">
        <f aca="false">IF(D6="","",D6-C6)</f>
        <v>-103800</v>
      </c>
      <c r="F6" s="27" t="n">
        <f aca="false">IF(OR(D6="",C6=0),"",E6/ABS(C6))</f>
        <v>-0.00833012326656395</v>
      </c>
      <c r="G6" s="28" t="str">
        <f aca="false">IF(D6="","Sem realizado",IF(OR(E6=0,AND(F6&lt;&gt;"",ABS(N(F6))&lt;=Comentários!$B$7)),"Em linha",IF((B6="Despesa")=(E6&gt;0),"Desfavorável","Favorável")))</f>
        <v>Em linha</v>
      </c>
      <c r="H6" s="17" t="n">
        <f aca="false">Orçado!O5</f>
        <v>26400000</v>
      </c>
      <c r="I6" s="27" t="n">
        <f aca="false">IF(OR(D6="",H6=0),"",D6/H6)</f>
        <v>0.468068181818182</v>
      </c>
    </row>
    <row r="7" customFormat="false" ht="15" hidden="false" customHeight="false" outlineLevel="0" collapsed="false">
      <c r="A7" s="7" t="str">
        <f aca="false">Orçado!A6</f>
        <v>Deduções e impostos sobre vendas</v>
      </c>
      <c r="B7" s="7" t="str">
        <f aca="false">Orçado!B6</f>
        <v>Despesa</v>
      </c>
      <c r="C7" s="17" t="n">
        <f aca="false">SUMIF(Orçado!$C$3:$N$3,"&lt;="&amp;$C$3,Orçado!$C6:$N6)</f>
        <v>1401700</v>
      </c>
      <c r="D7" s="17" t="n">
        <f aca="false">IF($D$3=0,"",SUMIF(Realizado!$C$3:$N$3,"&lt;="&amp;$C$3,Realizado!$C6:$N6))</f>
        <v>1390200</v>
      </c>
      <c r="E7" s="17" t="n">
        <f aca="false">IF(D7="","",D7-C7)</f>
        <v>-11500</v>
      </c>
      <c r="F7" s="27" t="n">
        <f aca="false">IF(OR(D7="",C7=0),"",E7/ABS(C7))</f>
        <v>-0.00820432332168082</v>
      </c>
      <c r="G7" s="28" t="str">
        <f aca="false">IF(D7="","Sem realizado",IF(OR(E7=0,AND(F7&lt;&gt;"",ABS(N(F7))&lt;=Comentários!$B$7)),"Em linha",IF((B7="Despesa")=(E7&gt;0),"Desfavorável","Favorável")))</f>
        <v>Em linha</v>
      </c>
      <c r="H7" s="17" t="n">
        <f aca="false">Orçado!O6</f>
        <v>2969800</v>
      </c>
      <c r="I7" s="27" t="n">
        <f aca="false">IF(OR(D7="",H7=0),"",D7/H7)</f>
        <v>0.468112330796687</v>
      </c>
    </row>
    <row r="8" customFormat="false" ht="15" hidden="false" customHeight="false" outlineLevel="0" collapsed="false">
      <c r="A8" s="8" t="str">
        <f aca="false">Orçado!A7</f>
        <v>Receita líquida</v>
      </c>
      <c r="B8" s="8" t="str">
        <f aca="false">Orçado!B7</f>
        <v>Resultado</v>
      </c>
      <c r="C8" s="19" t="n">
        <f aca="false">SUMIF(Orçado!$C$3:$N$3,"&lt;="&amp;$C$3,Orçado!$C7:$N7)</f>
        <v>11059100</v>
      </c>
      <c r="D8" s="19" t="n">
        <f aca="false">IF($D$3=0,"",SUMIF(Realizado!$C$3:$N$3,"&lt;="&amp;$C$3,Realizado!$C7:$N7))</f>
        <v>10966800</v>
      </c>
      <c r="E8" s="19" t="n">
        <f aca="false">IF(D8="","",D8-C8)</f>
        <v>-92300</v>
      </c>
      <c r="F8" s="29" t="n">
        <f aca="false">IF(OR(D8="",C8=0),"",E8/ABS(C8))</f>
        <v>-0.00834606794404608</v>
      </c>
      <c r="G8" s="30" t="str">
        <f aca="false">IF(D8="","Sem realizado",IF(OR(E8=0,AND(F8&lt;&gt;"",ABS(N(F8))&lt;=Comentários!$B$7)),"Em linha",IF((B8="Despesa")=(E8&gt;0),"Desfavorável","Favorável")))</f>
        <v>Em linha</v>
      </c>
      <c r="H8" s="19" t="n">
        <f aca="false">Orçado!O7</f>
        <v>23430200</v>
      </c>
      <c r="I8" s="29" t="n">
        <f aca="false">IF(OR(D8="",H8=0),"",D8/H8)</f>
        <v>0.46806258589342</v>
      </c>
    </row>
    <row r="9" customFormat="false" ht="15" hidden="false" customHeight="false" outlineLevel="0" collapsed="false">
      <c r="A9" s="7" t="str">
        <f aca="false">Orçado!A8</f>
        <v>Custo dos produtos e serviços</v>
      </c>
      <c r="B9" s="7" t="str">
        <f aca="false">Orçado!B8</f>
        <v>Despesa</v>
      </c>
      <c r="C9" s="17" t="n">
        <f aca="false">SUMIF(Orçado!$C$3:$N$3,"&lt;="&amp;$C$3,Orçado!$C8:$N8)</f>
        <v>5856700</v>
      </c>
      <c r="D9" s="17" t="n">
        <f aca="false">IF($D$3=0,"",SUMIF(Realizado!$C$3:$N$3,"&lt;="&amp;$C$3,Realizado!$C8:$N8))</f>
        <v>5908100</v>
      </c>
      <c r="E9" s="17" t="n">
        <f aca="false">IF(D9="","",D9-C9)</f>
        <v>51400</v>
      </c>
      <c r="F9" s="27" t="n">
        <f aca="false">IF(OR(D9="",C9=0),"",E9/ABS(C9))</f>
        <v>0.00877627332798334</v>
      </c>
      <c r="G9" s="28" t="str">
        <f aca="false">IF(D9="","Sem realizado",IF(OR(E9=0,AND(F9&lt;&gt;"",ABS(N(F9))&lt;=Comentários!$B$7)),"Em linha",IF((B9="Despesa")=(E9&gt;0),"Desfavorável","Favorável")))</f>
        <v>Em linha</v>
      </c>
      <c r="H9" s="17" t="n">
        <f aca="false">Orçado!O8</f>
        <v>12408100</v>
      </c>
      <c r="I9" s="27" t="n">
        <f aca="false">IF(OR(D9="",H9=0),"",D9/H9)</f>
        <v>0.47614864483684</v>
      </c>
    </row>
    <row r="10" customFormat="false" ht="15" hidden="false" customHeight="false" outlineLevel="0" collapsed="false">
      <c r="A10" s="8" t="str">
        <f aca="false">Orçado!A9</f>
        <v>Lucro bruto</v>
      </c>
      <c r="B10" s="8" t="str">
        <f aca="false">Orçado!B9</f>
        <v>Resultado</v>
      </c>
      <c r="C10" s="19" t="n">
        <f aca="false">SUMIF(Orçado!$C$3:$N$3,"&lt;="&amp;$C$3,Orçado!$C9:$N9)</f>
        <v>5202400</v>
      </c>
      <c r="D10" s="19" t="n">
        <f aca="false">IF($D$3=0,"",SUMIF(Realizado!$C$3:$N$3,"&lt;="&amp;$C$3,Realizado!$C9:$N9))</f>
        <v>5058700</v>
      </c>
      <c r="E10" s="19" t="n">
        <f aca="false">IF(D10="","",D10-C10)</f>
        <v>-143700</v>
      </c>
      <c r="F10" s="29" t="n">
        <f aca="false">IF(OR(D10="",C10=0),"",E10/ABS(C10))</f>
        <v>-0.0276218668306935</v>
      </c>
      <c r="G10" s="30" t="str">
        <f aca="false">IF(D10="","Sem realizado",IF(OR(E10=0,AND(F10&lt;&gt;"",ABS(N(F10))&lt;=Comentários!$B$7)),"Em linha",IF((B10="Despesa")=(E10&gt;0),"Desfavorável","Favorável")))</f>
        <v>Desfavorável</v>
      </c>
      <c r="H10" s="19" t="n">
        <f aca="false">Orçado!O9</f>
        <v>11022100</v>
      </c>
      <c r="I10" s="29" t="n">
        <f aca="false">IF(OR(D10="",H10=0),"",D10/H10)</f>
        <v>0.458959726367934</v>
      </c>
    </row>
    <row r="11" customFormat="false" ht="15" hidden="false" customHeight="false" outlineLevel="0" collapsed="false">
      <c r="A11" s="7" t="str">
        <f aca="false">Orçado!A10</f>
        <v>Pessoal e encargos</v>
      </c>
      <c r="B11" s="7" t="str">
        <f aca="false">Orçado!B10</f>
        <v>Despesa</v>
      </c>
      <c r="C11" s="17" t="n">
        <f aca="false">SUMIF(Orçado!$C$3:$N$3,"&lt;="&amp;$C$3,Orçado!$C10:$N10)</f>
        <v>2016000</v>
      </c>
      <c r="D11" s="17" t="n">
        <f aca="false">IF($D$3=0,"",SUMIF(Realizado!$C$3:$N$3,"&lt;="&amp;$C$3,Realizado!$C10:$N10))</f>
        <v>2050200</v>
      </c>
      <c r="E11" s="17" t="n">
        <f aca="false">IF(D11="","",D11-C11)</f>
        <v>34200</v>
      </c>
      <c r="F11" s="27" t="n">
        <f aca="false">IF(OR(D11="",C11=0),"",E11/ABS(C11))</f>
        <v>0.0169642857142857</v>
      </c>
      <c r="G11" s="28" t="str">
        <f aca="false">IF(D11="","Sem realizado",IF(OR(E11=0,AND(F11&lt;&gt;"",ABS(N(F11))&lt;=Comentários!$B$7)),"Em linha",IF((B11="Despesa")=(E11&gt;0),"Desfavorável","Favorável")))</f>
        <v>Desfavorável</v>
      </c>
      <c r="H11" s="17" t="n">
        <f aca="false">Orçado!O10</f>
        <v>4104000</v>
      </c>
      <c r="I11" s="27" t="n">
        <f aca="false">IF(OR(D11="",H11=0),"",D11/H11)</f>
        <v>0.499561403508772</v>
      </c>
    </row>
    <row r="12" customFormat="false" ht="15" hidden="false" customHeight="false" outlineLevel="0" collapsed="false">
      <c r="A12" s="7" t="str">
        <f aca="false">Orçado!A11</f>
        <v>Despesas comerciais</v>
      </c>
      <c r="B12" s="7" t="str">
        <f aca="false">Orçado!B11</f>
        <v>Despesa</v>
      </c>
      <c r="C12" s="17" t="n">
        <f aca="false">SUMIF(Orçado!$C$3:$N$3,"&lt;="&amp;$C$3,Orçado!$C11:$N11)</f>
        <v>523700</v>
      </c>
      <c r="D12" s="17" t="n">
        <f aca="false">IF($D$3=0,"",SUMIF(Realizado!$C$3:$N$3,"&lt;="&amp;$C$3,Realizado!$C11:$N11))</f>
        <v>549200</v>
      </c>
      <c r="E12" s="17" t="n">
        <f aca="false">IF(D12="","",D12-C12)</f>
        <v>25500</v>
      </c>
      <c r="F12" s="27" t="n">
        <f aca="false">IF(OR(D12="",C12=0),"",E12/ABS(C12))</f>
        <v>0.0486919992362039</v>
      </c>
      <c r="G12" s="28" t="str">
        <f aca="false">IF(D12="","Sem realizado",IF(OR(E12=0,AND(F12&lt;&gt;"",ABS(N(F12))&lt;=Comentários!$B$7)),"Em linha",IF((B12="Despesa")=(E12&gt;0),"Desfavorável","Favorável")))</f>
        <v>Desfavorável</v>
      </c>
      <c r="H12" s="17" t="n">
        <f aca="false">Orçado!O11</f>
        <v>1091900</v>
      </c>
      <c r="I12" s="27" t="n">
        <f aca="false">IF(OR(D12="",H12=0),"",D12/H12)</f>
        <v>0.502976463046067</v>
      </c>
    </row>
    <row r="13" customFormat="false" ht="15" hidden="false" customHeight="false" outlineLevel="0" collapsed="false">
      <c r="A13" s="7" t="str">
        <f aca="false">Orçado!A12</f>
        <v>Despesas administrativas</v>
      </c>
      <c r="B13" s="7" t="str">
        <f aca="false">Orçado!B12</f>
        <v>Despesa</v>
      </c>
      <c r="C13" s="17" t="n">
        <f aca="false">SUMIF(Orçado!$C$3:$N$3,"&lt;="&amp;$C$3,Orçado!$C12:$N12)</f>
        <v>552000</v>
      </c>
      <c r="D13" s="17" t="n">
        <f aca="false">IF($D$3=0,"",SUMIF(Realizado!$C$3:$N$3,"&lt;="&amp;$C$3,Realizado!$C12:$N12))</f>
        <v>550200</v>
      </c>
      <c r="E13" s="17" t="n">
        <f aca="false">IF(D13="","",D13-C13)</f>
        <v>-1800</v>
      </c>
      <c r="F13" s="27" t="n">
        <f aca="false">IF(OR(D13="",C13=0),"",E13/ABS(C13))</f>
        <v>-0.00326086956521739</v>
      </c>
      <c r="G13" s="28" t="str">
        <f aca="false">IF(D13="","Sem realizado",IF(OR(E13=0,AND(F13&lt;&gt;"",ABS(N(F13))&lt;=Comentários!$B$7)),"Em linha",IF((B13="Despesa")=(E13&gt;0),"Desfavorável","Favorável")))</f>
        <v>Em linha</v>
      </c>
      <c r="H13" s="17" t="n">
        <f aca="false">Orçado!O12</f>
        <v>1104000</v>
      </c>
      <c r="I13" s="27" t="n">
        <f aca="false">IF(OR(D13="",H13=0),"",D13/H13)</f>
        <v>0.498369565217391</v>
      </c>
    </row>
    <row r="14" customFormat="false" ht="15" hidden="false" customHeight="false" outlineLevel="0" collapsed="false">
      <c r="A14" s="7" t="str">
        <f aca="false">Orçado!A13</f>
        <v>Ocupação e utilidades</v>
      </c>
      <c r="B14" s="7" t="str">
        <f aca="false">Orçado!B13</f>
        <v>Despesa</v>
      </c>
      <c r="C14" s="17" t="n">
        <f aca="false">SUMIF(Orçado!$C$3:$N$3,"&lt;="&amp;$C$3,Orçado!$C13:$N13)</f>
        <v>324000</v>
      </c>
      <c r="D14" s="17" t="n">
        <f aca="false">IF($D$3=0,"",SUMIF(Realizado!$C$3:$N$3,"&lt;="&amp;$C$3,Realizado!$C13:$N13))</f>
        <v>327200</v>
      </c>
      <c r="E14" s="17" t="n">
        <f aca="false">IF(D14="","",D14-C14)</f>
        <v>3200</v>
      </c>
      <c r="F14" s="27" t="n">
        <f aca="false">IF(OR(D14="",C14=0),"",E14/ABS(C14))</f>
        <v>0.00987654320987654</v>
      </c>
      <c r="G14" s="28" t="str">
        <f aca="false">IF(D14="","Sem realizado",IF(OR(E14=0,AND(F14&lt;&gt;"",ABS(N(F14))&lt;=Comentários!$B$7)),"Em linha",IF((B14="Despesa")=(E14&gt;0),"Desfavorável","Favorável")))</f>
        <v>Em linha</v>
      </c>
      <c r="H14" s="17" t="n">
        <f aca="false">Orçado!O13</f>
        <v>663000</v>
      </c>
      <c r="I14" s="27" t="n">
        <f aca="false">IF(OR(D14="",H14=0),"",D14/H14)</f>
        <v>0.493514328808447</v>
      </c>
    </row>
    <row r="15" customFormat="false" ht="15" hidden="false" customHeight="false" outlineLevel="0" collapsed="false">
      <c r="A15" s="7" t="str">
        <f aca="false">Orçado!A14</f>
        <v>Tecnologia</v>
      </c>
      <c r="B15" s="7" t="str">
        <f aca="false">Orçado!B14</f>
        <v>Despesa</v>
      </c>
      <c r="C15" s="17" t="n">
        <f aca="false">SUMIF(Orçado!$C$3:$N$3,"&lt;="&amp;$C$3,Orçado!$C14:$N14)</f>
        <v>186000</v>
      </c>
      <c r="D15" s="17" t="n">
        <f aca="false">IF($D$3=0,"",SUMIF(Realizado!$C$3:$N$3,"&lt;="&amp;$C$3,Realizado!$C14:$N14))</f>
        <v>203000</v>
      </c>
      <c r="E15" s="17" t="n">
        <f aca="false">IF(D15="","",D15-C15)</f>
        <v>17000</v>
      </c>
      <c r="F15" s="27" t="n">
        <f aca="false">IF(OR(D15="",C15=0),"",E15/ABS(C15))</f>
        <v>0.0913978494623656</v>
      </c>
      <c r="G15" s="28" t="str">
        <f aca="false">IF(D15="","Sem realizado",IF(OR(E15=0,AND(F15&lt;&gt;"",ABS(N(F15))&lt;=Comentários!$B$7)),"Em linha",IF((B15="Despesa")=(E15&gt;0),"Desfavorável","Favorável")))</f>
        <v>Desfavorável</v>
      </c>
      <c r="H15" s="17" t="n">
        <f aca="false">Orçado!O14</f>
        <v>372000</v>
      </c>
      <c r="I15" s="27" t="n">
        <f aca="false">IF(OR(D15="",H15=0),"",D15/H15)</f>
        <v>0.545698924731183</v>
      </c>
    </row>
    <row r="16" customFormat="false" ht="15" hidden="false" customHeight="false" outlineLevel="0" collapsed="false">
      <c r="A16" s="8" t="str">
        <f aca="false">Orçado!A15</f>
        <v>EBITDA</v>
      </c>
      <c r="B16" s="8" t="str">
        <f aca="false">Orçado!B15</f>
        <v>Resultado</v>
      </c>
      <c r="C16" s="19" t="n">
        <f aca="false">SUMIF(Orçado!$C$3:$N$3,"&lt;="&amp;$C$3,Orçado!$C15:$N15)</f>
        <v>1600700</v>
      </c>
      <c r="D16" s="19" t="n">
        <f aca="false">IF($D$3=0,"",SUMIF(Realizado!$C$3:$N$3,"&lt;="&amp;$C$3,Realizado!$C15:$N15))</f>
        <v>1378900</v>
      </c>
      <c r="E16" s="19" t="n">
        <f aca="false">IF(D16="","",D16-C16)</f>
        <v>-221800</v>
      </c>
      <c r="F16" s="29" t="n">
        <f aca="false">IF(OR(D16="",C16=0),"",E16/ABS(C16))</f>
        <v>-0.138564378084588</v>
      </c>
      <c r="G16" s="30" t="str">
        <f aca="false">IF(D16="","Sem realizado",IF(OR(E16=0,AND(F16&lt;&gt;"",ABS(N(F16))&lt;=Comentários!$B$7)),"Em linha",IF((B16="Despesa")=(E16&gt;0),"Desfavorável","Favorável")))</f>
        <v>Desfavorável</v>
      </c>
      <c r="H16" s="19" t="n">
        <f aca="false">Orçado!O15</f>
        <v>3687200</v>
      </c>
      <c r="I16" s="29" t="n">
        <f aca="false">IF(OR(D16="",H16=0),"",D16/H16)</f>
        <v>0.373969407680625</v>
      </c>
    </row>
    <row r="17" customFormat="false" ht="15" hidden="false" customHeight="false" outlineLevel="0" collapsed="false">
      <c r="A17" s="7" t="str">
        <f aca="false">Orçado!A16</f>
        <v>Depreciação e amortização</v>
      </c>
      <c r="B17" s="7" t="str">
        <f aca="false">Orçado!B16</f>
        <v>Despesa</v>
      </c>
      <c r="C17" s="17" t="n">
        <f aca="false">SUMIF(Orçado!$C$3:$N$3,"&lt;="&amp;$C$3,Orçado!$C16:$N16)</f>
        <v>168000</v>
      </c>
      <c r="D17" s="17" t="n">
        <f aca="false">IF($D$3=0,"",SUMIF(Realizado!$C$3:$N$3,"&lt;="&amp;$C$3,Realizado!$C16:$N16))</f>
        <v>168000</v>
      </c>
      <c r="E17" s="17" t="n">
        <f aca="false">IF(D17="","",D17-C17)</f>
        <v>0</v>
      </c>
      <c r="F17" s="27" t="n">
        <f aca="false">IF(OR(D17="",C17=0),"",E17/ABS(C17))</f>
        <v>0</v>
      </c>
      <c r="G17" s="28" t="str">
        <f aca="false">IF(D17="","Sem realizado",IF(OR(E17=0,AND(F17&lt;&gt;"",ABS(N(F17))&lt;=Comentários!$B$7)),"Em linha",IF((B17="Despesa")=(E17&gt;0),"Desfavorável","Favorável")))</f>
        <v>Em linha</v>
      </c>
      <c r="H17" s="17" t="n">
        <f aca="false">Orçado!O16</f>
        <v>336000</v>
      </c>
      <c r="I17" s="27" t="n">
        <f aca="false">IF(OR(D17="",H17=0),"",D17/H17)</f>
        <v>0.5</v>
      </c>
    </row>
    <row r="18" customFormat="false" ht="15" hidden="false" customHeight="false" outlineLevel="0" collapsed="false">
      <c r="A18" s="7" t="str">
        <f aca="false">Orçado!A17</f>
        <v>Despesas financeiras líquidas</v>
      </c>
      <c r="B18" s="7" t="str">
        <f aca="false">Orçado!B17</f>
        <v>Despesa</v>
      </c>
      <c r="C18" s="17" t="n">
        <f aca="false">SUMIF(Orçado!$C$3:$N$3,"&lt;="&amp;$C$3,Orçado!$C17:$N17)</f>
        <v>144000</v>
      </c>
      <c r="D18" s="17" t="n">
        <f aca="false">IF($D$3=0,"",SUMIF(Realizado!$C$3:$N$3,"&lt;="&amp;$C$3,Realizado!$C17:$N17))</f>
        <v>166800</v>
      </c>
      <c r="E18" s="17" t="n">
        <f aca="false">IF(D18="","",D18-C18)</f>
        <v>22800</v>
      </c>
      <c r="F18" s="27" t="n">
        <f aca="false">IF(OR(D18="",C18=0),"",E18/ABS(C18))</f>
        <v>0.158333333333333</v>
      </c>
      <c r="G18" s="28" t="str">
        <f aca="false">IF(D18="","Sem realizado",IF(OR(E18=0,AND(F18&lt;&gt;"",ABS(N(F18))&lt;=Comentários!$B$7)),"Em linha",IF((B18="Despesa")=(E18&gt;0),"Desfavorável","Favorável")))</f>
        <v>Desfavorável</v>
      </c>
      <c r="H18" s="17" t="n">
        <f aca="false">Orçado!O17</f>
        <v>288000</v>
      </c>
      <c r="I18" s="27" t="n">
        <f aca="false">IF(OR(D18="",H18=0),"",D18/H18)</f>
        <v>0.579166666666667</v>
      </c>
    </row>
    <row r="19" customFormat="false" ht="15" hidden="false" customHeight="false" outlineLevel="0" collapsed="false">
      <c r="A19" s="8" t="str">
        <f aca="false">Orçado!A18</f>
        <v>Lucro antes do IR e CSLL</v>
      </c>
      <c r="B19" s="8" t="str">
        <f aca="false">Orçado!B18</f>
        <v>Resultado</v>
      </c>
      <c r="C19" s="19" t="n">
        <f aca="false">SUMIF(Orçado!$C$3:$N$3,"&lt;="&amp;$C$3,Orçado!$C18:$N18)</f>
        <v>1288700</v>
      </c>
      <c r="D19" s="19" t="n">
        <f aca="false">IF($D$3=0,"",SUMIF(Realizado!$C$3:$N$3,"&lt;="&amp;$C$3,Realizado!$C18:$N18))</f>
        <v>1044100</v>
      </c>
      <c r="E19" s="19" t="n">
        <f aca="false">IF(D19="","",D19-C19)</f>
        <v>-244600</v>
      </c>
      <c r="F19" s="29" t="n">
        <f aca="false">IF(OR(D19="",C19=0),"",E19/ABS(C19))</f>
        <v>-0.189803678125243</v>
      </c>
      <c r="G19" s="30" t="str">
        <f aca="false">IF(D19="","Sem realizado",IF(OR(E19=0,AND(F19&lt;&gt;"",ABS(N(F19))&lt;=Comentários!$B$7)),"Em linha",IF((B19="Despesa")=(E19&gt;0),"Desfavorável","Favorável")))</f>
        <v>Desfavorável</v>
      </c>
      <c r="H19" s="19" t="n">
        <f aca="false">Orçado!O18</f>
        <v>3063200</v>
      </c>
      <c r="I19" s="29" t="n">
        <f aca="false">IF(OR(D19="",H19=0),"",D19/H19)</f>
        <v>0.340852703055628</v>
      </c>
    </row>
    <row r="20" customFormat="false" ht="15" hidden="false" customHeight="false" outlineLevel="0" collapsed="false">
      <c r="A20" s="7" t="str">
        <f aca="false">Orçado!A19</f>
        <v>IR e CSLL</v>
      </c>
      <c r="B20" s="7" t="str">
        <f aca="false">Orçado!B19</f>
        <v>Despesa</v>
      </c>
      <c r="C20" s="17" t="n">
        <f aca="false">SUMIF(Orçado!$C$3:$N$3,"&lt;="&amp;$C$3,Orçado!$C19:$N19)</f>
        <v>438200</v>
      </c>
      <c r="D20" s="17" t="n">
        <f aca="false">IF($D$3=0,"",SUMIF(Realizado!$C$3:$N$3,"&lt;="&amp;$C$3,Realizado!$C19:$N19))</f>
        <v>355000</v>
      </c>
      <c r="E20" s="17" t="n">
        <f aca="false">IF(D20="","",D20-C20)</f>
        <v>-83200</v>
      </c>
      <c r="F20" s="27" t="n">
        <f aca="false">IF(OR(D20="",C20=0),"",E20/ABS(C20))</f>
        <v>-0.189867640346874</v>
      </c>
      <c r="G20" s="28" t="str">
        <f aca="false">IF(D20="","Sem realizado",IF(OR(E20=0,AND(F20&lt;&gt;"",ABS(N(F20))&lt;=Comentários!$B$7)),"Em linha",IF((B20="Despesa")=(E20&gt;0),"Desfavorável","Favorável")))</f>
        <v>Favorável</v>
      </c>
      <c r="H20" s="17" t="n">
        <f aca="false">Orçado!O19</f>
        <v>1041400</v>
      </c>
      <c r="I20" s="27" t="n">
        <f aca="false">IF(OR(D20="",H20=0),"",D20/H20)</f>
        <v>0.340887267140388</v>
      </c>
    </row>
    <row r="21" customFormat="false" ht="15" hidden="false" customHeight="false" outlineLevel="0" collapsed="false">
      <c r="A21" s="8" t="str">
        <f aca="false">Orçado!A20</f>
        <v>Lucro líquido</v>
      </c>
      <c r="B21" s="8" t="str">
        <f aca="false">Orçado!B20</f>
        <v>Resultado</v>
      </c>
      <c r="C21" s="19" t="n">
        <f aca="false">SUMIF(Orçado!$C$3:$N$3,"&lt;="&amp;$C$3,Orçado!$C20:$N20)</f>
        <v>850500</v>
      </c>
      <c r="D21" s="19" t="n">
        <f aca="false">IF($D$3=0,"",SUMIF(Realizado!$C$3:$N$3,"&lt;="&amp;$C$3,Realizado!$C20:$N20))</f>
        <v>689100</v>
      </c>
      <c r="E21" s="19" t="n">
        <f aca="false">IF(D21="","",D21-C21)</f>
        <v>-161400</v>
      </c>
      <c r="F21" s="29" t="n">
        <f aca="false">IF(OR(D21="",C21=0),"",E21/ABS(C21))</f>
        <v>-0.189770723104056</v>
      </c>
      <c r="G21" s="30" t="str">
        <f aca="false">IF(D21="","Sem realizado",IF(OR(E21=0,AND(F21&lt;&gt;"",ABS(N(F21))&lt;=Comentários!$B$7)),"Em linha",IF((B21="Despesa")=(E21&gt;0),"Desfavorável","Favorável")))</f>
        <v>Desfavorável</v>
      </c>
      <c r="H21" s="19" t="n">
        <f aca="false">Orçado!O20</f>
        <v>2021800</v>
      </c>
      <c r="I21" s="29" t="n">
        <f aca="false">IF(OR(D21="",H21=0),"",D21/H21)</f>
        <v>0.340834899594421</v>
      </c>
    </row>
    <row r="23" customFormat="false" ht="15" hidden="false" customHeight="false" outlineLevel="0" collapsed="false">
      <c r="A23" s="11" t="s">
        <v>23</v>
      </c>
    </row>
  </sheetData>
  <conditionalFormatting sqref="G6:G21">
    <cfRule type="cellIs" priority="2" operator="equal" aboveAverage="0" equalAverage="0" bottom="0" percent="0" rank="0" text="" dxfId="0">
      <formula>"Favorável"</formula>
    </cfRule>
    <cfRule type="cellIs" priority="3" operator="equal" aboveAverage="0" equalAverage="0" bottom="0" percent="0" rank="0" text="" dxfId="1">
      <formula>"Desfavorável"</formula>
    </cfRule>
  </conditionalFormatting>
  <dataValidations count="1">
    <dataValidation allowBlank="false" error="Escolha um mês da lista." errorStyle="stop" operator="between" showDropDown="false" showErrorMessage="true" showInputMessage="false" sqref="B3" type="list">
      <formula1>"Jan,Fev,Mar,Abr,Mai,Jun,Jul,Ago,Set,Out,Nov,Dez"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5" min="3" style="0" width="13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44"/>
    <col collapsed="false" customWidth="true" hidden="false" outlineLevel="0" max="9" min="9" style="0" width="20"/>
    <col collapsed="false" customWidth="true" hidden="false" outlineLevel="0" max="10" min="10" style="0" width="40"/>
    <col collapsed="false" customWidth="true" hidden="false" outlineLevel="0" max="11" min="11" style="0" width="12"/>
    <col collapsed="false" customWidth="true" hidden="false" outlineLevel="0" max="12" min="12" style="0" width="14"/>
  </cols>
  <sheetData>
    <row r="1" customFormat="false" ht="18.55" hidden="false" customHeight="false" outlineLevel="0" collapsed="false">
      <c r="A1" s="1" t="s">
        <v>79</v>
      </c>
    </row>
    <row r="2" customFormat="false" ht="15" hidden="false" customHeight="false" outlineLevel="0" collapsed="false">
      <c r="A2" s="2" t="s">
        <v>80</v>
      </c>
    </row>
    <row r="4" customFormat="false" ht="15" hidden="false" customHeight="false" outlineLevel="0" collapsed="false">
      <c r="A4" s="10" t="s">
        <v>81</v>
      </c>
      <c r="B4" s="16" t="n">
        <v>15000</v>
      </c>
      <c r="C4" s="9" t="s">
        <v>82</v>
      </c>
    </row>
    <row r="5" customFormat="false" ht="15" hidden="false" customHeight="false" outlineLevel="0" collapsed="false">
      <c r="A5" s="10" t="s">
        <v>83</v>
      </c>
      <c r="B5" s="32" t="n">
        <v>0.05</v>
      </c>
      <c r="C5" s="9" t="s">
        <v>84</v>
      </c>
    </row>
    <row r="6" customFormat="false" ht="15" hidden="false" customHeight="false" outlineLevel="0" collapsed="false">
      <c r="A6" s="10" t="s">
        <v>85</v>
      </c>
      <c r="B6" s="6" t="s">
        <v>86</v>
      </c>
      <c r="C6" s="9" t="s">
        <v>87</v>
      </c>
    </row>
    <row r="7" customFormat="false" ht="15" hidden="false" customHeight="false" outlineLevel="0" collapsed="false">
      <c r="A7" s="10" t="s">
        <v>88</v>
      </c>
      <c r="B7" s="32" t="n">
        <v>0.01</v>
      </c>
      <c r="C7" s="9" t="s">
        <v>89</v>
      </c>
    </row>
    <row r="9" customFormat="false" ht="30" hidden="false" customHeight="true" outlineLevel="0" collapsed="false">
      <c r="A9" s="14" t="s">
        <v>66</v>
      </c>
      <c r="B9" s="15" t="s">
        <v>27</v>
      </c>
      <c r="C9" s="15" t="s">
        <v>24</v>
      </c>
      <c r="D9" s="15" t="s">
        <v>61</v>
      </c>
      <c r="E9" s="15" t="s">
        <v>67</v>
      </c>
      <c r="F9" s="15" t="s">
        <v>68</v>
      </c>
      <c r="G9" s="15" t="s">
        <v>90</v>
      </c>
      <c r="H9" s="15" t="s">
        <v>91</v>
      </c>
      <c r="I9" s="15" t="s">
        <v>92</v>
      </c>
      <c r="J9" s="15" t="s">
        <v>93</v>
      </c>
      <c r="K9" s="15" t="s">
        <v>94</v>
      </c>
      <c r="L9" s="15" t="s">
        <v>95</v>
      </c>
    </row>
    <row r="10" customFormat="false" ht="27.75" hidden="false" customHeight="true" outlineLevel="0" collapsed="false">
      <c r="A10" s="6" t="s">
        <v>34</v>
      </c>
      <c r="B10" s="6" t="s">
        <v>42</v>
      </c>
      <c r="C10" s="17" t="n">
        <f aca="false">IF(OR($A10="",$B10=""),"",IFERROR(INDEX(Orçado!$C$5:$N$20,MATCH($B10,Orçado!$A$5:$A$20,0),MATCH($A10,Orçado!$C$4:$N$4,0)),""))</f>
        <v>2191200</v>
      </c>
      <c r="D10" s="17" t="n">
        <f aca="false">IF(C10="","",IF(INDEX(Realizado!$C$21:$N$21,MATCH($A10,Orçado!$C$4:$N$4,0))=0,"",INDEX(Realizado!$C$5:$N$20,MATCH($B10,Orçado!$A$5:$A$20,0),MATCH($A10,Orçado!$C$4:$N$4,0))))</f>
        <v>2059700</v>
      </c>
      <c r="E10" s="17" t="n">
        <f aca="false">IF(D10="","",D10-C10)</f>
        <v>-131500</v>
      </c>
      <c r="F10" s="27" t="n">
        <f aca="false">IF(OR(D10="",N(C10)=0),"",E10/ABS(C10))</f>
        <v>-0.0600127783862724</v>
      </c>
      <c r="G10" s="28" t="str">
        <f aca="false">IF(D10="","",IF(IF(Comentários!$B$6="R$ ou %",OR(ABS(E10)&gt;=Comentários!$B$4,AND(F10&lt;&gt;"",ABS(N(F10))&gt;=Comentários!$B$5)),AND(ABS(E10)&gt;=Comentários!$B$4,OR(F10="",ABS(N(F10))&gt;=Comentários!$B$5))),"Sim","Não"))</f>
        <v>Sim</v>
      </c>
      <c r="H10" s="33" t="s">
        <v>96</v>
      </c>
      <c r="I10" s="6" t="s">
        <v>97</v>
      </c>
      <c r="J10" s="33" t="s">
        <v>98</v>
      </c>
      <c r="K10" s="34" t="n">
        <v>46218</v>
      </c>
      <c r="L10" s="6" t="s">
        <v>99</v>
      </c>
    </row>
    <row r="11" customFormat="false" ht="27.75" hidden="false" customHeight="true" outlineLevel="0" collapsed="false">
      <c r="A11" s="6" t="s">
        <v>34</v>
      </c>
      <c r="B11" s="6" t="s">
        <v>51</v>
      </c>
      <c r="C11" s="17" t="n">
        <f aca="false">IF(OR($A11="",$B11=""),"",IFERROR(INDEX(Orçado!$C$5:$N$20,MATCH($B11,Orçado!$A$5:$A$20,0),MATCH($A11,Orçado!$C$4:$N$4,0)),""))</f>
        <v>90700</v>
      </c>
      <c r="D11" s="17" t="n">
        <f aca="false">IF(C11="","",IF(INDEX(Realizado!$C$21:$N$21,MATCH($A11,Orçado!$C$4:$N$4,0))=0,"",INDEX(Realizado!$C$5:$N$20,MATCH($B11,Orçado!$A$5:$A$20,0),MATCH($A11,Orçado!$C$4:$N$4,0))))</f>
        <v>107000</v>
      </c>
      <c r="E11" s="17" t="n">
        <f aca="false">IF(D11="","",D11-C11)</f>
        <v>16300</v>
      </c>
      <c r="F11" s="27" t="n">
        <f aca="false">IF(OR(D11="",N(C11)=0),"",E11/ABS(C11))</f>
        <v>0.179713340683572</v>
      </c>
      <c r="G11" s="28" t="str">
        <f aca="false">IF(D11="","",IF(IF(Comentários!$B$6="R$ ou %",OR(ABS(E11)&gt;=Comentários!$B$4,AND(F11&lt;&gt;"",ABS(N(F11))&gt;=Comentários!$B$5)),AND(ABS(E11)&gt;=Comentários!$B$4,OR(F11="",ABS(N(F11))&gt;=Comentários!$B$5))),"Sim","Não"))</f>
        <v>Sim</v>
      </c>
      <c r="H11" s="33" t="s">
        <v>100</v>
      </c>
      <c r="I11" s="6" t="s">
        <v>97</v>
      </c>
      <c r="J11" s="33" t="s">
        <v>101</v>
      </c>
      <c r="K11" s="34" t="n">
        <v>46213</v>
      </c>
      <c r="L11" s="6" t="s">
        <v>102</v>
      </c>
    </row>
    <row r="12" customFormat="false" ht="27.75" hidden="false" customHeight="true" outlineLevel="0" collapsed="false">
      <c r="A12" s="6" t="s">
        <v>34</v>
      </c>
      <c r="B12" s="6" t="s">
        <v>49</v>
      </c>
      <c r="C12" s="17" t="n">
        <f aca="false">IF(OR($A12="",$B12=""),"",IFERROR(INDEX(Orçado!$C$5:$N$20,MATCH($B12,Orçado!$A$5:$A$20,0),MATCH($A12,Orçado!$C$4:$N$4,0)),""))</f>
        <v>914800</v>
      </c>
      <c r="D12" s="17" t="n">
        <f aca="false">IF(C12="","",IF(INDEX(Realizado!$C$21:$N$21,MATCH($A12,Orçado!$C$4:$N$4,0))=0,"",INDEX(Realizado!$C$5:$N$20,MATCH($B12,Orçado!$A$5:$A$20,0),MATCH($A12,Orçado!$C$4:$N$4,0))))</f>
        <v>811500</v>
      </c>
      <c r="E12" s="17" t="n">
        <f aca="false">IF(D12="","",D12-C12)</f>
        <v>-103300</v>
      </c>
      <c r="F12" s="27" t="n">
        <f aca="false">IF(OR(D12="",N(C12)=0),"",E12/ABS(C12))</f>
        <v>-0.112920857017927</v>
      </c>
      <c r="G12" s="28" t="str">
        <f aca="false">IF(D12="","",IF(IF(Comentários!$B$6="R$ ou %",OR(ABS(E12)&gt;=Comentários!$B$4,AND(F12&lt;&gt;"",ABS(N(F12))&gt;=Comentários!$B$5)),AND(ABS(E12)&gt;=Comentários!$B$4,OR(F12="",ABS(N(F12))&gt;=Comentários!$B$5))),"Sim","Não"))</f>
        <v>Sim</v>
      </c>
      <c r="H12" s="33" t="s">
        <v>103</v>
      </c>
      <c r="I12" s="6" t="s">
        <v>104</v>
      </c>
      <c r="J12" s="33" t="s">
        <v>105</v>
      </c>
      <c r="K12" s="34" t="n">
        <v>46223</v>
      </c>
      <c r="L12" s="6" t="s">
        <v>106</v>
      </c>
    </row>
    <row r="13" customFormat="false" ht="27.75" hidden="false" customHeight="true" outlineLevel="0" collapsed="false">
      <c r="A13" s="6" t="s">
        <v>33</v>
      </c>
      <c r="B13" s="6" t="s">
        <v>48</v>
      </c>
      <c r="C13" s="17" t="n">
        <f aca="false">IF(OR($A13="",$B13=""),"",IFERROR(INDEX(Orçado!$C$5:$N$20,MATCH($B13,Orçado!$A$5:$A$20,0),MATCH($A13,Orçado!$C$4:$N$4,0)),""))</f>
        <v>1054700</v>
      </c>
      <c r="D13" s="17" t="n">
        <f aca="false">IF(C13="","",IF(INDEX(Realizado!$C$21:$N$21,MATCH($A13,Orçado!$C$4:$N$4,0))=0,"",INDEX(Realizado!$C$5:$N$20,MATCH($B13,Orçado!$A$5:$A$20,0),MATCH($A13,Orçado!$C$4:$N$4,0))))</f>
        <v>1118900</v>
      </c>
      <c r="E13" s="17" t="n">
        <f aca="false">IF(D13="","",D13-C13)</f>
        <v>64200</v>
      </c>
      <c r="F13" s="27" t="n">
        <f aca="false">IF(OR(D13="",N(C13)=0),"",E13/ABS(C13))</f>
        <v>0.0608703896842704</v>
      </c>
      <c r="G13" s="28" t="str">
        <f aca="false">IF(D13="","",IF(IF(Comentários!$B$6="R$ ou %",OR(ABS(E13)&gt;=Comentários!$B$4,AND(F13&lt;&gt;"",ABS(N(F13))&gt;=Comentários!$B$5)),AND(ABS(E13)&gt;=Comentários!$B$4,OR(F13="",ABS(N(F13))&gt;=Comentários!$B$5))),"Sim","Não"))</f>
        <v>Sim</v>
      </c>
      <c r="H13" s="33" t="s">
        <v>107</v>
      </c>
      <c r="I13" s="6" t="s">
        <v>108</v>
      </c>
      <c r="J13" s="33" t="s">
        <v>109</v>
      </c>
      <c r="K13" s="34" t="n">
        <v>46203</v>
      </c>
      <c r="L13" s="6" t="s">
        <v>99</v>
      </c>
    </row>
    <row r="14" customFormat="false" ht="15" hidden="false" customHeight="false" outlineLevel="0" collapsed="false">
      <c r="A14" s="6"/>
      <c r="B14" s="6"/>
      <c r="C14" s="17" t="str">
        <f aca="false">IF(OR($A14="",$B14=""),"",IFERROR(INDEX(Orçado!$C$5:$N$20,MATCH($B14,Orçado!$A$5:$A$20,0),MATCH($A14,Orçado!$C$4:$N$4,0)),""))</f>
        <v/>
      </c>
      <c r="D14" s="17" t="str">
        <f aca="false">IF(C14="","",IF(INDEX(Realizado!$C$21:$N$21,MATCH($A14,Orçado!$C$4:$N$4,0))=0,"",INDEX(Realizado!$C$5:$N$20,MATCH($B14,Orçado!$A$5:$A$20,0),MATCH($A14,Orçado!$C$4:$N$4,0))))</f>
        <v/>
      </c>
      <c r="E14" s="17" t="str">
        <f aca="false">IF(D14="","",D14-C14)</f>
        <v/>
      </c>
      <c r="F14" s="27" t="str">
        <f aca="false">IF(OR(D14="",N(C14)=0),"",E14/ABS(C14))</f>
        <v/>
      </c>
      <c r="G14" s="28" t="str">
        <f aca="false">IF(D14="","",IF(IF(Comentários!$B$6="R$ ou %",OR(ABS(E14)&gt;=Comentários!$B$4,AND(F14&lt;&gt;"",ABS(N(F14))&gt;=Comentários!$B$5)),AND(ABS(E14)&gt;=Comentários!$B$4,OR(F14="",ABS(N(F14))&gt;=Comentários!$B$5))),"Sim","Não"))</f>
        <v/>
      </c>
      <c r="H14" s="33"/>
      <c r="I14" s="6"/>
      <c r="J14" s="33"/>
      <c r="K14" s="34"/>
      <c r="L14" s="6"/>
    </row>
    <row r="15" customFormat="false" ht="15" hidden="false" customHeight="false" outlineLevel="0" collapsed="false">
      <c r="A15" s="6"/>
      <c r="B15" s="6"/>
      <c r="C15" s="17" t="str">
        <f aca="false">IF(OR($A15="",$B15=""),"",IFERROR(INDEX(Orçado!$C$5:$N$20,MATCH($B15,Orçado!$A$5:$A$20,0),MATCH($A15,Orçado!$C$4:$N$4,0)),""))</f>
        <v/>
      </c>
      <c r="D15" s="17" t="str">
        <f aca="false">IF(C15="","",IF(INDEX(Realizado!$C$21:$N$21,MATCH($A15,Orçado!$C$4:$N$4,0))=0,"",INDEX(Realizado!$C$5:$N$20,MATCH($B15,Orçado!$A$5:$A$20,0),MATCH($A15,Orçado!$C$4:$N$4,0))))</f>
        <v/>
      </c>
      <c r="E15" s="17" t="str">
        <f aca="false">IF(D15="","",D15-C15)</f>
        <v/>
      </c>
      <c r="F15" s="27" t="str">
        <f aca="false">IF(OR(D15="",N(C15)=0),"",E15/ABS(C15))</f>
        <v/>
      </c>
      <c r="G15" s="28" t="str">
        <f aca="false">IF(D15="","",IF(IF(Comentários!$B$6="R$ ou %",OR(ABS(E15)&gt;=Comentários!$B$4,AND(F15&lt;&gt;"",ABS(N(F15))&gt;=Comentários!$B$5)),AND(ABS(E15)&gt;=Comentários!$B$4,OR(F15="",ABS(N(F15))&gt;=Comentários!$B$5))),"Sim","Não"))</f>
        <v/>
      </c>
      <c r="H15" s="33"/>
      <c r="I15" s="6"/>
      <c r="J15" s="33"/>
      <c r="K15" s="34"/>
      <c r="L15" s="6"/>
    </row>
    <row r="16" customFormat="false" ht="15" hidden="false" customHeight="false" outlineLevel="0" collapsed="false">
      <c r="A16" s="6"/>
      <c r="B16" s="6"/>
      <c r="C16" s="17" t="str">
        <f aca="false">IF(OR($A16="",$B16=""),"",IFERROR(INDEX(Orçado!$C$5:$N$20,MATCH($B16,Orçado!$A$5:$A$20,0),MATCH($A16,Orçado!$C$4:$N$4,0)),""))</f>
        <v/>
      </c>
      <c r="D16" s="17" t="str">
        <f aca="false">IF(C16="","",IF(INDEX(Realizado!$C$21:$N$21,MATCH($A16,Orçado!$C$4:$N$4,0))=0,"",INDEX(Realizado!$C$5:$N$20,MATCH($B16,Orçado!$A$5:$A$20,0),MATCH($A16,Orçado!$C$4:$N$4,0))))</f>
        <v/>
      </c>
      <c r="E16" s="17" t="str">
        <f aca="false">IF(D16="","",D16-C16)</f>
        <v/>
      </c>
      <c r="F16" s="27" t="str">
        <f aca="false">IF(OR(D16="",N(C16)=0),"",E16/ABS(C16))</f>
        <v/>
      </c>
      <c r="G16" s="28" t="str">
        <f aca="false">IF(D16="","",IF(IF(Comentários!$B$6="R$ ou %",OR(ABS(E16)&gt;=Comentários!$B$4,AND(F16&lt;&gt;"",ABS(N(F16))&gt;=Comentários!$B$5)),AND(ABS(E16)&gt;=Comentários!$B$4,OR(F16="",ABS(N(F16))&gt;=Comentários!$B$5))),"Sim","Não"))</f>
        <v/>
      </c>
      <c r="H16" s="33"/>
      <c r="I16" s="6"/>
      <c r="J16" s="33"/>
      <c r="K16" s="34"/>
      <c r="L16" s="6"/>
    </row>
    <row r="17" customFormat="false" ht="15" hidden="false" customHeight="false" outlineLevel="0" collapsed="false">
      <c r="A17" s="6"/>
      <c r="B17" s="6"/>
      <c r="C17" s="17" t="str">
        <f aca="false">IF(OR($A17="",$B17=""),"",IFERROR(INDEX(Orçado!$C$5:$N$20,MATCH($B17,Orçado!$A$5:$A$20,0),MATCH($A17,Orçado!$C$4:$N$4,0)),""))</f>
        <v/>
      </c>
      <c r="D17" s="17" t="str">
        <f aca="false">IF(C17="","",IF(INDEX(Realizado!$C$21:$N$21,MATCH($A17,Orçado!$C$4:$N$4,0))=0,"",INDEX(Realizado!$C$5:$N$20,MATCH($B17,Orçado!$A$5:$A$20,0),MATCH($A17,Orçado!$C$4:$N$4,0))))</f>
        <v/>
      </c>
      <c r="E17" s="17" t="str">
        <f aca="false">IF(D17="","",D17-C17)</f>
        <v/>
      </c>
      <c r="F17" s="27" t="str">
        <f aca="false">IF(OR(D17="",N(C17)=0),"",E17/ABS(C17))</f>
        <v/>
      </c>
      <c r="G17" s="28" t="str">
        <f aca="false">IF(D17="","",IF(IF(Comentários!$B$6="R$ ou %",OR(ABS(E17)&gt;=Comentários!$B$4,AND(F17&lt;&gt;"",ABS(N(F17))&gt;=Comentários!$B$5)),AND(ABS(E17)&gt;=Comentários!$B$4,OR(F17="",ABS(N(F17))&gt;=Comentários!$B$5))),"Sim","Não"))</f>
        <v/>
      </c>
      <c r="H17" s="33"/>
      <c r="I17" s="6"/>
      <c r="J17" s="33"/>
      <c r="K17" s="34"/>
      <c r="L17" s="6"/>
    </row>
    <row r="18" customFormat="false" ht="15" hidden="false" customHeight="false" outlineLevel="0" collapsed="false">
      <c r="A18" s="6"/>
      <c r="B18" s="6"/>
      <c r="C18" s="17" t="str">
        <f aca="false">IF(OR($A18="",$B18=""),"",IFERROR(INDEX(Orçado!$C$5:$N$20,MATCH($B18,Orçado!$A$5:$A$20,0),MATCH($A18,Orçado!$C$4:$N$4,0)),""))</f>
        <v/>
      </c>
      <c r="D18" s="17" t="str">
        <f aca="false">IF(C18="","",IF(INDEX(Realizado!$C$21:$N$21,MATCH($A18,Orçado!$C$4:$N$4,0))=0,"",INDEX(Realizado!$C$5:$N$20,MATCH($B18,Orçado!$A$5:$A$20,0),MATCH($A18,Orçado!$C$4:$N$4,0))))</f>
        <v/>
      </c>
      <c r="E18" s="17" t="str">
        <f aca="false">IF(D18="","",D18-C18)</f>
        <v/>
      </c>
      <c r="F18" s="27" t="str">
        <f aca="false">IF(OR(D18="",N(C18)=0),"",E18/ABS(C18))</f>
        <v/>
      </c>
      <c r="G18" s="28" t="str">
        <f aca="false">IF(D18="","",IF(IF(Comentários!$B$6="R$ ou %",OR(ABS(E18)&gt;=Comentários!$B$4,AND(F18&lt;&gt;"",ABS(N(F18))&gt;=Comentários!$B$5)),AND(ABS(E18)&gt;=Comentários!$B$4,OR(F18="",ABS(N(F18))&gt;=Comentários!$B$5))),"Sim","Não"))</f>
        <v/>
      </c>
      <c r="H18" s="33"/>
      <c r="I18" s="6"/>
      <c r="J18" s="33"/>
      <c r="K18" s="34"/>
      <c r="L18" s="6"/>
    </row>
    <row r="19" customFormat="false" ht="15" hidden="false" customHeight="false" outlineLevel="0" collapsed="false">
      <c r="A19" s="6"/>
      <c r="B19" s="6"/>
      <c r="C19" s="17" t="str">
        <f aca="false">IF(OR($A19="",$B19=""),"",IFERROR(INDEX(Orçado!$C$5:$N$20,MATCH($B19,Orçado!$A$5:$A$20,0),MATCH($A19,Orçado!$C$4:$N$4,0)),""))</f>
        <v/>
      </c>
      <c r="D19" s="17" t="str">
        <f aca="false">IF(C19="","",IF(INDEX(Realizado!$C$21:$N$21,MATCH($A19,Orçado!$C$4:$N$4,0))=0,"",INDEX(Realizado!$C$5:$N$20,MATCH($B19,Orçado!$A$5:$A$20,0),MATCH($A19,Orçado!$C$4:$N$4,0))))</f>
        <v/>
      </c>
      <c r="E19" s="17" t="str">
        <f aca="false">IF(D19="","",D19-C19)</f>
        <v/>
      </c>
      <c r="F19" s="27" t="str">
        <f aca="false">IF(OR(D19="",N(C19)=0),"",E19/ABS(C19))</f>
        <v/>
      </c>
      <c r="G19" s="28" t="str">
        <f aca="false">IF(D19="","",IF(IF(Comentários!$B$6="R$ ou %",OR(ABS(E19)&gt;=Comentários!$B$4,AND(F19&lt;&gt;"",ABS(N(F19))&gt;=Comentários!$B$5)),AND(ABS(E19)&gt;=Comentários!$B$4,OR(F19="",ABS(N(F19))&gt;=Comentários!$B$5))),"Sim","Não"))</f>
        <v/>
      </c>
      <c r="H19" s="33"/>
      <c r="I19" s="6"/>
      <c r="J19" s="33"/>
      <c r="K19" s="34"/>
      <c r="L19" s="6"/>
    </row>
    <row r="20" customFormat="false" ht="15" hidden="false" customHeight="false" outlineLevel="0" collapsed="false">
      <c r="A20" s="6"/>
      <c r="B20" s="6"/>
      <c r="C20" s="17" t="str">
        <f aca="false">IF(OR($A20="",$B20=""),"",IFERROR(INDEX(Orçado!$C$5:$N$20,MATCH($B20,Orçado!$A$5:$A$20,0),MATCH($A20,Orçado!$C$4:$N$4,0)),""))</f>
        <v/>
      </c>
      <c r="D20" s="17" t="str">
        <f aca="false">IF(C20="","",IF(INDEX(Realizado!$C$21:$N$21,MATCH($A20,Orçado!$C$4:$N$4,0))=0,"",INDEX(Realizado!$C$5:$N$20,MATCH($B20,Orçado!$A$5:$A$20,0),MATCH($A20,Orçado!$C$4:$N$4,0))))</f>
        <v/>
      </c>
      <c r="E20" s="17" t="str">
        <f aca="false">IF(D20="","",D20-C20)</f>
        <v/>
      </c>
      <c r="F20" s="27" t="str">
        <f aca="false">IF(OR(D20="",N(C20)=0),"",E20/ABS(C20))</f>
        <v/>
      </c>
      <c r="G20" s="28" t="str">
        <f aca="false">IF(D20="","",IF(IF(Comentários!$B$6="R$ ou %",OR(ABS(E20)&gt;=Comentários!$B$4,AND(F20&lt;&gt;"",ABS(N(F20))&gt;=Comentários!$B$5)),AND(ABS(E20)&gt;=Comentários!$B$4,OR(F20="",ABS(N(F20))&gt;=Comentários!$B$5))),"Sim","Não"))</f>
        <v/>
      </c>
      <c r="H20" s="33"/>
      <c r="I20" s="6"/>
      <c r="J20" s="33"/>
      <c r="K20" s="34"/>
      <c r="L20" s="6"/>
    </row>
    <row r="21" customFormat="false" ht="15" hidden="false" customHeight="false" outlineLevel="0" collapsed="false">
      <c r="A21" s="6"/>
      <c r="B21" s="6"/>
      <c r="C21" s="17" t="str">
        <f aca="false">IF(OR($A21="",$B21=""),"",IFERROR(INDEX(Orçado!$C$5:$N$20,MATCH($B21,Orçado!$A$5:$A$20,0),MATCH($A21,Orçado!$C$4:$N$4,0)),""))</f>
        <v/>
      </c>
      <c r="D21" s="17" t="str">
        <f aca="false">IF(C21="","",IF(INDEX(Realizado!$C$21:$N$21,MATCH($A21,Orçado!$C$4:$N$4,0))=0,"",INDEX(Realizado!$C$5:$N$20,MATCH($B21,Orçado!$A$5:$A$20,0),MATCH($A21,Orçado!$C$4:$N$4,0))))</f>
        <v/>
      </c>
      <c r="E21" s="17" t="str">
        <f aca="false">IF(D21="","",D21-C21)</f>
        <v/>
      </c>
      <c r="F21" s="27" t="str">
        <f aca="false">IF(OR(D21="",N(C21)=0),"",E21/ABS(C21))</f>
        <v/>
      </c>
      <c r="G21" s="28" t="str">
        <f aca="false">IF(D21="","",IF(IF(Comentários!$B$6="R$ ou %",OR(ABS(E21)&gt;=Comentários!$B$4,AND(F21&lt;&gt;"",ABS(N(F21))&gt;=Comentários!$B$5)),AND(ABS(E21)&gt;=Comentários!$B$4,OR(F21="",ABS(N(F21))&gt;=Comentários!$B$5))),"Sim","Não"))</f>
        <v/>
      </c>
      <c r="H21" s="33"/>
      <c r="I21" s="6"/>
      <c r="J21" s="33"/>
      <c r="K21" s="34"/>
      <c r="L21" s="6"/>
    </row>
    <row r="22" customFormat="false" ht="15" hidden="false" customHeight="false" outlineLevel="0" collapsed="false">
      <c r="A22" s="6"/>
      <c r="B22" s="6"/>
      <c r="C22" s="17" t="str">
        <f aca="false">IF(OR($A22="",$B22=""),"",IFERROR(INDEX(Orçado!$C$5:$N$20,MATCH($B22,Orçado!$A$5:$A$20,0),MATCH($A22,Orçado!$C$4:$N$4,0)),""))</f>
        <v/>
      </c>
      <c r="D22" s="17" t="str">
        <f aca="false">IF(C22="","",IF(INDEX(Realizado!$C$21:$N$21,MATCH($A22,Orçado!$C$4:$N$4,0))=0,"",INDEX(Realizado!$C$5:$N$20,MATCH($B22,Orçado!$A$5:$A$20,0),MATCH($A22,Orçado!$C$4:$N$4,0))))</f>
        <v/>
      </c>
      <c r="E22" s="17" t="str">
        <f aca="false">IF(D22="","",D22-C22)</f>
        <v/>
      </c>
      <c r="F22" s="27" t="str">
        <f aca="false">IF(OR(D22="",N(C22)=0),"",E22/ABS(C22))</f>
        <v/>
      </c>
      <c r="G22" s="28" t="str">
        <f aca="false">IF(D22="","",IF(IF(Comentários!$B$6="R$ ou %",OR(ABS(E22)&gt;=Comentários!$B$4,AND(F22&lt;&gt;"",ABS(N(F22))&gt;=Comentários!$B$5)),AND(ABS(E22)&gt;=Comentários!$B$4,OR(F22="",ABS(N(F22))&gt;=Comentários!$B$5))),"Sim","Não"))</f>
        <v/>
      </c>
      <c r="H22" s="33"/>
      <c r="I22" s="6"/>
      <c r="J22" s="33"/>
      <c r="K22" s="34"/>
      <c r="L22" s="6"/>
    </row>
    <row r="23" customFormat="false" ht="15" hidden="false" customHeight="false" outlineLevel="0" collapsed="false">
      <c r="A23" s="6"/>
      <c r="B23" s="6"/>
      <c r="C23" s="17" t="str">
        <f aca="false">IF(OR($A23="",$B23=""),"",IFERROR(INDEX(Orçado!$C$5:$N$20,MATCH($B23,Orçado!$A$5:$A$20,0),MATCH($A23,Orçado!$C$4:$N$4,0)),""))</f>
        <v/>
      </c>
      <c r="D23" s="17" t="str">
        <f aca="false">IF(C23="","",IF(INDEX(Realizado!$C$21:$N$21,MATCH($A23,Orçado!$C$4:$N$4,0))=0,"",INDEX(Realizado!$C$5:$N$20,MATCH($B23,Orçado!$A$5:$A$20,0),MATCH($A23,Orçado!$C$4:$N$4,0))))</f>
        <v/>
      </c>
      <c r="E23" s="17" t="str">
        <f aca="false">IF(D23="","",D23-C23)</f>
        <v/>
      </c>
      <c r="F23" s="27" t="str">
        <f aca="false">IF(OR(D23="",N(C23)=0),"",E23/ABS(C23))</f>
        <v/>
      </c>
      <c r="G23" s="28" t="str">
        <f aca="false">IF(D23="","",IF(IF(Comentários!$B$6="R$ ou %",OR(ABS(E23)&gt;=Comentários!$B$4,AND(F23&lt;&gt;"",ABS(N(F23))&gt;=Comentários!$B$5)),AND(ABS(E23)&gt;=Comentários!$B$4,OR(F23="",ABS(N(F23))&gt;=Comentários!$B$5))),"Sim","Não"))</f>
        <v/>
      </c>
      <c r="H23" s="33"/>
      <c r="I23" s="6"/>
      <c r="J23" s="33"/>
      <c r="K23" s="34"/>
      <c r="L23" s="6"/>
    </row>
    <row r="24" customFormat="false" ht="15" hidden="false" customHeight="false" outlineLevel="0" collapsed="false">
      <c r="A24" s="6"/>
      <c r="B24" s="6"/>
      <c r="C24" s="17" t="str">
        <f aca="false">IF(OR($A24="",$B24=""),"",IFERROR(INDEX(Orçado!$C$5:$N$20,MATCH($B24,Orçado!$A$5:$A$20,0),MATCH($A24,Orçado!$C$4:$N$4,0)),""))</f>
        <v/>
      </c>
      <c r="D24" s="17" t="str">
        <f aca="false">IF(C24="","",IF(INDEX(Realizado!$C$21:$N$21,MATCH($A24,Orçado!$C$4:$N$4,0))=0,"",INDEX(Realizado!$C$5:$N$20,MATCH($B24,Orçado!$A$5:$A$20,0),MATCH($A24,Orçado!$C$4:$N$4,0))))</f>
        <v/>
      </c>
      <c r="E24" s="17" t="str">
        <f aca="false">IF(D24="","",D24-C24)</f>
        <v/>
      </c>
      <c r="F24" s="27" t="str">
        <f aca="false">IF(OR(D24="",N(C24)=0),"",E24/ABS(C24))</f>
        <v/>
      </c>
      <c r="G24" s="28" t="str">
        <f aca="false">IF(D24="","",IF(IF(Comentários!$B$6="R$ ou %",OR(ABS(E24)&gt;=Comentários!$B$4,AND(F24&lt;&gt;"",ABS(N(F24))&gt;=Comentários!$B$5)),AND(ABS(E24)&gt;=Comentários!$B$4,OR(F24="",ABS(N(F24))&gt;=Comentários!$B$5))),"Sim","Não"))</f>
        <v/>
      </c>
      <c r="H24" s="33"/>
      <c r="I24" s="6"/>
      <c r="J24" s="33"/>
      <c r="K24" s="34"/>
      <c r="L24" s="6"/>
    </row>
    <row r="25" customFormat="false" ht="15" hidden="false" customHeight="false" outlineLevel="0" collapsed="false">
      <c r="A25" s="6"/>
      <c r="B25" s="6"/>
      <c r="C25" s="17" t="str">
        <f aca="false">IF(OR($A25="",$B25=""),"",IFERROR(INDEX(Orçado!$C$5:$N$20,MATCH($B25,Orçado!$A$5:$A$20,0),MATCH($A25,Orçado!$C$4:$N$4,0)),""))</f>
        <v/>
      </c>
      <c r="D25" s="17" t="str">
        <f aca="false">IF(C25="","",IF(INDEX(Realizado!$C$21:$N$21,MATCH($A25,Orçado!$C$4:$N$4,0))=0,"",INDEX(Realizado!$C$5:$N$20,MATCH($B25,Orçado!$A$5:$A$20,0),MATCH($A25,Orçado!$C$4:$N$4,0))))</f>
        <v/>
      </c>
      <c r="E25" s="17" t="str">
        <f aca="false">IF(D25="","",D25-C25)</f>
        <v/>
      </c>
      <c r="F25" s="27" t="str">
        <f aca="false">IF(OR(D25="",N(C25)=0),"",E25/ABS(C25))</f>
        <v/>
      </c>
      <c r="G25" s="28" t="str">
        <f aca="false">IF(D25="","",IF(IF(Comentários!$B$6="R$ ou %",OR(ABS(E25)&gt;=Comentários!$B$4,AND(F25&lt;&gt;"",ABS(N(F25))&gt;=Comentários!$B$5)),AND(ABS(E25)&gt;=Comentários!$B$4,OR(F25="",ABS(N(F25))&gt;=Comentários!$B$5))),"Sim","Não"))</f>
        <v/>
      </c>
      <c r="H25" s="33"/>
      <c r="I25" s="6"/>
      <c r="J25" s="33"/>
      <c r="K25" s="34"/>
      <c r="L25" s="6"/>
    </row>
    <row r="26" customFormat="false" ht="15" hidden="false" customHeight="false" outlineLevel="0" collapsed="false">
      <c r="A26" s="6"/>
      <c r="B26" s="6"/>
      <c r="C26" s="17" t="str">
        <f aca="false">IF(OR($A26="",$B26=""),"",IFERROR(INDEX(Orçado!$C$5:$N$20,MATCH($B26,Orçado!$A$5:$A$20,0),MATCH($A26,Orçado!$C$4:$N$4,0)),""))</f>
        <v/>
      </c>
      <c r="D26" s="17" t="str">
        <f aca="false">IF(C26="","",IF(INDEX(Realizado!$C$21:$N$21,MATCH($A26,Orçado!$C$4:$N$4,0))=0,"",INDEX(Realizado!$C$5:$N$20,MATCH($B26,Orçado!$A$5:$A$20,0),MATCH($A26,Orçado!$C$4:$N$4,0))))</f>
        <v/>
      </c>
      <c r="E26" s="17" t="str">
        <f aca="false">IF(D26="","",D26-C26)</f>
        <v/>
      </c>
      <c r="F26" s="27" t="str">
        <f aca="false">IF(OR(D26="",N(C26)=0),"",E26/ABS(C26))</f>
        <v/>
      </c>
      <c r="G26" s="28" t="str">
        <f aca="false">IF(D26="","",IF(IF(Comentários!$B$6="R$ ou %",OR(ABS(E26)&gt;=Comentários!$B$4,AND(F26&lt;&gt;"",ABS(N(F26))&gt;=Comentários!$B$5)),AND(ABS(E26)&gt;=Comentários!$B$4,OR(F26="",ABS(N(F26))&gt;=Comentários!$B$5))),"Sim","Não"))</f>
        <v/>
      </c>
      <c r="H26" s="33"/>
      <c r="I26" s="6"/>
      <c r="J26" s="33"/>
      <c r="K26" s="34"/>
      <c r="L26" s="6"/>
    </row>
    <row r="27" customFormat="false" ht="15" hidden="false" customHeight="false" outlineLevel="0" collapsed="false">
      <c r="A27" s="6"/>
      <c r="B27" s="6"/>
      <c r="C27" s="17" t="str">
        <f aca="false">IF(OR($A27="",$B27=""),"",IFERROR(INDEX(Orçado!$C$5:$N$20,MATCH($B27,Orçado!$A$5:$A$20,0),MATCH($A27,Orçado!$C$4:$N$4,0)),""))</f>
        <v/>
      </c>
      <c r="D27" s="17" t="str">
        <f aca="false">IF(C27="","",IF(INDEX(Realizado!$C$21:$N$21,MATCH($A27,Orçado!$C$4:$N$4,0))=0,"",INDEX(Realizado!$C$5:$N$20,MATCH($B27,Orçado!$A$5:$A$20,0),MATCH($A27,Orçado!$C$4:$N$4,0))))</f>
        <v/>
      </c>
      <c r="E27" s="17" t="str">
        <f aca="false">IF(D27="","",D27-C27)</f>
        <v/>
      </c>
      <c r="F27" s="27" t="str">
        <f aca="false">IF(OR(D27="",N(C27)=0),"",E27/ABS(C27))</f>
        <v/>
      </c>
      <c r="G27" s="28" t="str">
        <f aca="false">IF(D27="","",IF(IF(Comentários!$B$6="R$ ou %",OR(ABS(E27)&gt;=Comentários!$B$4,AND(F27&lt;&gt;"",ABS(N(F27))&gt;=Comentários!$B$5)),AND(ABS(E27)&gt;=Comentários!$B$4,OR(F27="",ABS(N(F27))&gt;=Comentários!$B$5))),"Sim","Não"))</f>
        <v/>
      </c>
      <c r="H27" s="33"/>
      <c r="I27" s="6"/>
      <c r="J27" s="33"/>
      <c r="K27" s="34"/>
      <c r="L27" s="6"/>
    </row>
    <row r="28" customFormat="false" ht="15" hidden="false" customHeight="false" outlineLevel="0" collapsed="false">
      <c r="A28" s="6"/>
      <c r="B28" s="6"/>
      <c r="C28" s="17" t="str">
        <f aca="false">IF(OR($A28="",$B28=""),"",IFERROR(INDEX(Orçado!$C$5:$N$20,MATCH($B28,Orçado!$A$5:$A$20,0),MATCH($A28,Orçado!$C$4:$N$4,0)),""))</f>
        <v/>
      </c>
      <c r="D28" s="17" t="str">
        <f aca="false">IF(C28="","",IF(INDEX(Realizado!$C$21:$N$21,MATCH($A28,Orçado!$C$4:$N$4,0))=0,"",INDEX(Realizado!$C$5:$N$20,MATCH($B28,Orçado!$A$5:$A$20,0),MATCH($A28,Orçado!$C$4:$N$4,0))))</f>
        <v/>
      </c>
      <c r="E28" s="17" t="str">
        <f aca="false">IF(D28="","",D28-C28)</f>
        <v/>
      </c>
      <c r="F28" s="27" t="str">
        <f aca="false">IF(OR(D28="",N(C28)=0),"",E28/ABS(C28))</f>
        <v/>
      </c>
      <c r="G28" s="28" t="str">
        <f aca="false">IF(D28="","",IF(IF(Comentários!$B$6="R$ ou %",OR(ABS(E28)&gt;=Comentários!$B$4,AND(F28&lt;&gt;"",ABS(N(F28))&gt;=Comentários!$B$5)),AND(ABS(E28)&gt;=Comentários!$B$4,OR(F28="",ABS(N(F28))&gt;=Comentários!$B$5))),"Sim","Não"))</f>
        <v/>
      </c>
      <c r="H28" s="33"/>
      <c r="I28" s="6"/>
      <c r="J28" s="33"/>
      <c r="K28" s="34"/>
      <c r="L28" s="6"/>
    </row>
    <row r="29" customFormat="false" ht="15" hidden="false" customHeight="false" outlineLevel="0" collapsed="false">
      <c r="A29" s="6"/>
      <c r="B29" s="6"/>
      <c r="C29" s="17" t="str">
        <f aca="false">IF(OR($A29="",$B29=""),"",IFERROR(INDEX(Orçado!$C$5:$N$20,MATCH($B29,Orçado!$A$5:$A$20,0),MATCH($A29,Orçado!$C$4:$N$4,0)),""))</f>
        <v/>
      </c>
      <c r="D29" s="17" t="str">
        <f aca="false">IF(C29="","",IF(INDEX(Realizado!$C$21:$N$21,MATCH($A29,Orçado!$C$4:$N$4,0))=0,"",INDEX(Realizado!$C$5:$N$20,MATCH($B29,Orçado!$A$5:$A$20,0),MATCH($A29,Orçado!$C$4:$N$4,0))))</f>
        <v/>
      </c>
      <c r="E29" s="17" t="str">
        <f aca="false">IF(D29="","",D29-C29)</f>
        <v/>
      </c>
      <c r="F29" s="27" t="str">
        <f aca="false">IF(OR(D29="",N(C29)=0),"",E29/ABS(C29))</f>
        <v/>
      </c>
      <c r="G29" s="28" t="str">
        <f aca="false">IF(D29="","",IF(IF(Comentários!$B$6="R$ ou %",OR(ABS(E29)&gt;=Comentários!$B$4,AND(F29&lt;&gt;"",ABS(N(F29))&gt;=Comentários!$B$5)),AND(ABS(E29)&gt;=Comentários!$B$4,OR(F29="",ABS(N(F29))&gt;=Comentários!$B$5))),"Sim","Não"))</f>
        <v/>
      </c>
      <c r="H29" s="33"/>
      <c r="I29" s="6"/>
      <c r="J29" s="33"/>
      <c r="K29" s="34"/>
      <c r="L29" s="6"/>
    </row>
    <row r="30" customFormat="false" ht="15" hidden="false" customHeight="false" outlineLevel="0" collapsed="false">
      <c r="A30" s="6"/>
      <c r="B30" s="6"/>
      <c r="C30" s="17" t="str">
        <f aca="false">IF(OR($A30="",$B30=""),"",IFERROR(INDEX(Orçado!$C$5:$N$20,MATCH($B30,Orçado!$A$5:$A$20,0),MATCH($A30,Orçado!$C$4:$N$4,0)),""))</f>
        <v/>
      </c>
      <c r="D30" s="17" t="str">
        <f aca="false">IF(C30="","",IF(INDEX(Realizado!$C$21:$N$21,MATCH($A30,Orçado!$C$4:$N$4,0))=0,"",INDEX(Realizado!$C$5:$N$20,MATCH($B30,Orçado!$A$5:$A$20,0),MATCH($A30,Orçado!$C$4:$N$4,0))))</f>
        <v/>
      </c>
      <c r="E30" s="17" t="str">
        <f aca="false">IF(D30="","",D30-C30)</f>
        <v/>
      </c>
      <c r="F30" s="27" t="str">
        <f aca="false">IF(OR(D30="",N(C30)=0),"",E30/ABS(C30))</f>
        <v/>
      </c>
      <c r="G30" s="28" t="str">
        <f aca="false">IF(D30="","",IF(IF(Comentários!$B$6="R$ ou %",OR(ABS(E30)&gt;=Comentários!$B$4,AND(F30&lt;&gt;"",ABS(N(F30))&gt;=Comentários!$B$5)),AND(ABS(E30)&gt;=Comentários!$B$4,OR(F30="",ABS(N(F30))&gt;=Comentários!$B$5))),"Sim","Não"))</f>
        <v/>
      </c>
      <c r="H30" s="33"/>
      <c r="I30" s="6"/>
      <c r="J30" s="33"/>
      <c r="K30" s="34"/>
      <c r="L30" s="6"/>
    </row>
    <row r="31" customFormat="false" ht="15" hidden="false" customHeight="false" outlineLevel="0" collapsed="false">
      <c r="A31" s="6"/>
      <c r="B31" s="6"/>
      <c r="C31" s="17" t="str">
        <f aca="false">IF(OR($A31="",$B31=""),"",IFERROR(INDEX(Orçado!$C$5:$N$20,MATCH($B31,Orçado!$A$5:$A$20,0),MATCH($A31,Orçado!$C$4:$N$4,0)),""))</f>
        <v/>
      </c>
      <c r="D31" s="17" t="str">
        <f aca="false">IF(C31="","",IF(INDEX(Realizado!$C$21:$N$21,MATCH($A31,Orçado!$C$4:$N$4,0))=0,"",INDEX(Realizado!$C$5:$N$20,MATCH($B31,Orçado!$A$5:$A$20,0),MATCH($A31,Orçado!$C$4:$N$4,0))))</f>
        <v/>
      </c>
      <c r="E31" s="17" t="str">
        <f aca="false">IF(D31="","",D31-C31)</f>
        <v/>
      </c>
      <c r="F31" s="27" t="str">
        <f aca="false">IF(OR(D31="",N(C31)=0),"",E31/ABS(C31))</f>
        <v/>
      </c>
      <c r="G31" s="28" t="str">
        <f aca="false">IF(D31="","",IF(IF(Comentários!$B$6="R$ ou %",OR(ABS(E31)&gt;=Comentários!$B$4,AND(F31&lt;&gt;"",ABS(N(F31))&gt;=Comentários!$B$5)),AND(ABS(E31)&gt;=Comentários!$B$4,OR(F31="",ABS(N(F31))&gt;=Comentários!$B$5))),"Sim","Não"))</f>
        <v/>
      </c>
      <c r="H31" s="33"/>
      <c r="I31" s="6"/>
      <c r="J31" s="33"/>
      <c r="K31" s="34"/>
      <c r="L31" s="6"/>
    </row>
    <row r="32" customFormat="false" ht="15" hidden="false" customHeight="false" outlineLevel="0" collapsed="false">
      <c r="A32" s="6"/>
      <c r="B32" s="6"/>
      <c r="C32" s="17" t="str">
        <f aca="false">IF(OR($A32="",$B32=""),"",IFERROR(INDEX(Orçado!$C$5:$N$20,MATCH($B32,Orçado!$A$5:$A$20,0),MATCH($A32,Orçado!$C$4:$N$4,0)),""))</f>
        <v/>
      </c>
      <c r="D32" s="17" t="str">
        <f aca="false">IF(C32="","",IF(INDEX(Realizado!$C$21:$N$21,MATCH($A32,Orçado!$C$4:$N$4,0))=0,"",INDEX(Realizado!$C$5:$N$20,MATCH($B32,Orçado!$A$5:$A$20,0),MATCH($A32,Orçado!$C$4:$N$4,0))))</f>
        <v/>
      </c>
      <c r="E32" s="17" t="str">
        <f aca="false">IF(D32="","",D32-C32)</f>
        <v/>
      </c>
      <c r="F32" s="27" t="str">
        <f aca="false">IF(OR(D32="",N(C32)=0),"",E32/ABS(C32))</f>
        <v/>
      </c>
      <c r="G32" s="28" t="str">
        <f aca="false">IF(D32="","",IF(IF(Comentários!$B$6="R$ ou %",OR(ABS(E32)&gt;=Comentários!$B$4,AND(F32&lt;&gt;"",ABS(N(F32))&gt;=Comentários!$B$5)),AND(ABS(E32)&gt;=Comentários!$B$4,OR(F32="",ABS(N(F32))&gt;=Comentários!$B$5))),"Sim","Não"))</f>
        <v/>
      </c>
      <c r="H32" s="33"/>
      <c r="I32" s="6"/>
      <c r="J32" s="33"/>
      <c r="K32" s="34"/>
      <c r="L32" s="6"/>
    </row>
    <row r="33" customFormat="false" ht="15" hidden="false" customHeight="false" outlineLevel="0" collapsed="false">
      <c r="A33" s="6"/>
      <c r="B33" s="6"/>
      <c r="C33" s="17" t="str">
        <f aca="false">IF(OR($A33="",$B33=""),"",IFERROR(INDEX(Orçado!$C$5:$N$20,MATCH($B33,Orçado!$A$5:$A$20,0),MATCH($A33,Orçado!$C$4:$N$4,0)),""))</f>
        <v/>
      </c>
      <c r="D33" s="17" t="str">
        <f aca="false">IF(C33="","",IF(INDEX(Realizado!$C$21:$N$21,MATCH($A33,Orçado!$C$4:$N$4,0))=0,"",INDEX(Realizado!$C$5:$N$20,MATCH($B33,Orçado!$A$5:$A$20,0),MATCH($A33,Orçado!$C$4:$N$4,0))))</f>
        <v/>
      </c>
      <c r="E33" s="17" t="str">
        <f aca="false">IF(D33="","",D33-C33)</f>
        <v/>
      </c>
      <c r="F33" s="27" t="str">
        <f aca="false">IF(OR(D33="",N(C33)=0),"",E33/ABS(C33))</f>
        <v/>
      </c>
      <c r="G33" s="28" t="str">
        <f aca="false">IF(D33="","",IF(IF(Comentários!$B$6="R$ ou %",OR(ABS(E33)&gt;=Comentários!$B$4,AND(F33&lt;&gt;"",ABS(N(F33))&gt;=Comentários!$B$5)),AND(ABS(E33)&gt;=Comentários!$B$4,OR(F33="",ABS(N(F33))&gt;=Comentários!$B$5))),"Sim","Não"))</f>
        <v/>
      </c>
      <c r="H33" s="33"/>
      <c r="I33" s="6"/>
      <c r="J33" s="33"/>
      <c r="K33" s="34"/>
      <c r="L33" s="6"/>
    </row>
    <row r="34" customFormat="false" ht="15" hidden="false" customHeight="false" outlineLevel="0" collapsed="false">
      <c r="A34" s="6"/>
      <c r="B34" s="6"/>
      <c r="C34" s="17" t="str">
        <f aca="false">IF(OR($A34="",$B34=""),"",IFERROR(INDEX(Orçado!$C$5:$N$20,MATCH($B34,Orçado!$A$5:$A$20,0),MATCH($A34,Orçado!$C$4:$N$4,0)),""))</f>
        <v/>
      </c>
      <c r="D34" s="17" t="str">
        <f aca="false">IF(C34="","",IF(INDEX(Realizado!$C$21:$N$21,MATCH($A34,Orçado!$C$4:$N$4,0))=0,"",INDEX(Realizado!$C$5:$N$20,MATCH($B34,Orçado!$A$5:$A$20,0),MATCH($A34,Orçado!$C$4:$N$4,0))))</f>
        <v/>
      </c>
      <c r="E34" s="17" t="str">
        <f aca="false">IF(D34="","",D34-C34)</f>
        <v/>
      </c>
      <c r="F34" s="27" t="str">
        <f aca="false">IF(OR(D34="",N(C34)=0),"",E34/ABS(C34))</f>
        <v/>
      </c>
      <c r="G34" s="28" t="str">
        <f aca="false">IF(D34="","",IF(IF(Comentários!$B$6="R$ ou %",OR(ABS(E34)&gt;=Comentários!$B$4,AND(F34&lt;&gt;"",ABS(N(F34))&gt;=Comentários!$B$5)),AND(ABS(E34)&gt;=Comentários!$B$4,OR(F34="",ABS(N(F34))&gt;=Comentários!$B$5))),"Sim","Não"))</f>
        <v/>
      </c>
      <c r="H34" s="33"/>
      <c r="I34" s="6"/>
      <c r="J34" s="33"/>
      <c r="K34" s="34"/>
      <c r="L34" s="6"/>
    </row>
    <row r="35" customFormat="false" ht="15" hidden="false" customHeight="false" outlineLevel="0" collapsed="false">
      <c r="A35" s="6"/>
      <c r="B35" s="6"/>
      <c r="C35" s="17" t="str">
        <f aca="false">IF(OR($A35="",$B35=""),"",IFERROR(INDEX(Orçado!$C$5:$N$20,MATCH($B35,Orçado!$A$5:$A$20,0),MATCH($A35,Orçado!$C$4:$N$4,0)),""))</f>
        <v/>
      </c>
      <c r="D35" s="17" t="str">
        <f aca="false">IF(C35="","",IF(INDEX(Realizado!$C$21:$N$21,MATCH($A35,Orçado!$C$4:$N$4,0))=0,"",INDEX(Realizado!$C$5:$N$20,MATCH($B35,Orçado!$A$5:$A$20,0),MATCH($A35,Orçado!$C$4:$N$4,0))))</f>
        <v/>
      </c>
      <c r="E35" s="17" t="str">
        <f aca="false">IF(D35="","",D35-C35)</f>
        <v/>
      </c>
      <c r="F35" s="27" t="str">
        <f aca="false">IF(OR(D35="",N(C35)=0),"",E35/ABS(C35))</f>
        <v/>
      </c>
      <c r="G35" s="28" t="str">
        <f aca="false">IF(D35="","",IF(IF(Comentários!$B$6="R$ ou %",OR(ABS(E35)&gt;=Comentários!$B$4,AND(F35&lt;&gt;"",ABS(N(F35))&gt;=Comentários!$B$5)),AND(ABS(E35)&gt;=Comentários!$B$4,OR(F35="",ABS(N(F35))&gt;=Comentários!$B$5))),"Sim","Não"))</f>
        <v/>
      </c>
      <c r="H35" s="33"/>
      <c r="I35" s="6"/>
      <c r="J35" s="33"/>
      <c r="K35" s="34"/>
      <c r="L35" s="6"/>
    </row>
    <row r="36" customFormat="false" ht="15" hidden="false" customHeight="false" outlineLevel="0" collapsed="false">
      <c r="A36" s="6"/>
      <c r="B36" s="6"/>
      <c r="C36" s="17" t="str">
        <f aca="false">IF(OR($A36="",$B36=""),"",IFERROR(INDEX(Orçado!$C$5:$N$20,MATCH($B36,Orçado!$A$5:$A$20,0),MATCH($A36,Orçado!$C$4:$N$4,0)),""))</f>
        <v/>
      </c>
      <c r="D36" s="17" t="str">
        <f aca="false">IF(C36="","",IF(INDEX(Realizado!$C$21:$N$21,MATCH($A36,Orçado!$C$4:$N$4,0))=0,"",INDEX(Realizado!$C$5:$N$20,MATCH($B36,Orçado!$A$5:$A$20,0),MATCH($A36,Orçado!$C$4:$N$4,0))))</f>
        <v/>
      </c>
      <c r="E36" s="17" t="str">
        <f aca="false">IF(D36="","",D36-C36)</f>
        <v/>
      </c>
      <c r="F36" s="27" t="str">
        <f aca="false">IF(OR(D36="",N(C36)=0),"",E36/ABS(C36))</f>
        <v/>
      </c>
      <c r="G36" s="28" t="str">
        <f aca="false">IF(D36="","",IF(IF(Comentários!$B$6="R$ ou %",OR(ABS(E36)&gt;=Comentários!$B$4,AND(F36&lt;&gt;"",ABS(N(F36))&gt;=Comentários!$B$5)),AND(ABS(E36)&gt;=Comentários!$B$4,OR(F36="",ABS(N(F36))&gt;=Comentários!$B$5))),"Sim","Não"))</f>
        <v/>
      </c>
      <c r="H36" s="33"/>
      <c r="I36" s="6"/>
      <c r="J36" s="33"/>
      <c r="K36" s="34"/>
      <c r="L36" s="6"/>
    </row>
    <row r="37" customFormat="false" ht="15" hidden="false" customHeight="false" outlineLevel="0" collapsed="false">
      <c r="A37" s="6"/>
      <c r="B37" s="6"/>
      <c r="C37" s="17" t="str">
        <f aca="false">IF(OR($A37="",$B37=""),"",IFERROR(INDEX(Orçado!$C$5:$N$20,MATCH($B37,Orçado!$A$5:$A$20,0),MATCH($A37,Orçado!$C$4:$N$4,0)),""))</f>
        <v/>
      </c>
      <c r="D37" s="17" t="str">
        <f aca="false">IF(C37="","",IF(INDEX(Realizado!$C$21:$N$21,MATCH($A37,Orçado!$C$4:$N$4,0))=0,"",INDEX(Realizado!$C$5:$N$20,MATCH($B37,Orçado!$A$5:$A$20,0),MATCH($A37,Orçado!$C$4:$N$4,0))))</f>
        <v/>
      </c>
      <c r="E37" s="17" t="str">
        <f aca="false">IF(D37="","",D37-C37)</f>
        <v/>
      </c>
      <c r="F37" s="27" t="str">
        <f aca="false">IF(OR(D37="",N(C37)=0),"",E37/ABS(C37))</f>
        <v/>
      </c>
      <c r="G37" s="28" t="str">
        <f aca="false">IF(D37="","",IF(IF(Comentários!$B$6="R$ ou %",OR(ABS(E37)&gt;=Comentários!$B$4,AND(F37&lt;&gt;"",ABS(N(F37))&gt;=Comentários!$B$5)),AND(ABS(E37)&gt;=Comentários!$B$4,OR(F37="",ABS(N(F37))&gt;=Comentários!$B$5))),"Sim","Não"))</f>
        <v/>
      </c>
      <c r="H37" s="33"/>
      <c r="I37" s="6"/>
      <c r="J37" s="33"/>
      <c r="K37" s="34"/>
      <c r="L37" s="6"/>
    </row>
    <row r="38" customFormat="false" ht="15" hidden="false" customHeight="false" outlineLevel="0" collapsed="false">
      <c r="A38" s="6"/>
      <c r="B38" s="6"/>
      <c r="C38" s="17" t="str">
        <f aca="false">IF(OR($A38="",$B38=""),"",IFERROR(INDEX(Orçado!$C$5:$N$20,MATCH($B38,Orçado!$A$5:$A$20,0),MATCH($A38,Orçado!$C$4:$N$4,0)),""))</f>
        <v/>
      </c>
      <c r="D38" s="17" t="str">
        <f aca="false">IF(C38="","",IF(INDEX(Realizado!$C$21:$N$21,MATCH($A38,Orçado!$C$4:$N$4,0))=0,"",INDEX(Realizado!$C$5:$N$20,MATCH($B38,Orçado!$A$5:$A$20,0),MATCH($A38,Orçado!$C$4:$N$4,0))))</f>
        <v/>
      </c>
      <c r="E38" s="17" t="str">
        <f aca="false">IF(D38="","",D38-C38)</f>
        <v/>
      </c>
      <c r="F38" s="27" t="str">
        <f aca="false">IF(OR(D38="",N(C38)=0),"",E38/ABS(C38))</f>
        <v/>
      </c>
      <c r="G38" s="28" t="str">
        <f aca="false">IF(D38="","",IF(IF(Comentários!$B$6="R$ ou %",OR(ABS(E38)&gt;=Comentários!$B$4,AND(F38&lt;&gt;"",ABS(N(F38))&gt;=Comentários!$B$5)),AND(ABS(E38)&gt;=Comentários!$B$4,OR(F38="",ABS(N(F38))&gt;=Comentários!$B$5))),"Sim","Não"))</f>
        <v/>
      </c>
      <c r="H38" s="33"/>
      <c r="I38" s="6"/>
      <c r="J38" s="33"/>
      <c r="K38" s="34"/>
      <c r="L38" s="6"/>
    </row>
    <row r="39" customFormat="false" ht="15" hidden="false" customHeight="false" outlineLevel="0" collapsed="false">
      <c r="A39" s="6"/>
      <c r="B39" s="6"/>
      <c r="C39" s="17" t="str">
        <f aca="false">IF(OR($A39="",$B39=""),"",IFERROR(INDEX(Orçado!$C$5:$N$20,MATCH($B39,Orçado!$A$5:$A$20,0),MATCH($A39,Orçado!$C$4:$N$4,0)),""))</f>
        <v/>
      </c>
      <c r="D39" s="17" t="str">
        <f aca="false">IF(C39="","",IF(INDEX(Realizado!$C$21:$N$21,MATCH($A39,Orçado!$C$4:$N$4,0))=0,"",INDEX(Realizado!$C$5:$N$20,MATCH($B39,Orçado!$A$5:$A$20,0),MATCH($A39,Orçado!$C$4:$N$4,0))))</f>
        <v/>
      </c>
      <c r="E39" s="17" t="str">
        <f aca="false">IF(D39="","",D39-C39)</f>
        <v/>
      </c>
      <c r="F39" s="27" t="str">
        <f aca="false">IF(OR(D39="",N(C39)=0),"",E39/ABS(C39))</f>
        <v/>
      </c>
      <c r="G39" s="28" t="str">
        <f aca="false">IF(D39="","",IF(IF(Comentários!$B$6="R$ ou %",OR(ABS(E39)&gt;=Comentários!$B$4,AND(F39&lt;&gt;"",ABS(N(F39))&gt;=Comentários!$B$5)),AND(ABS(E39)&gt;=Comentários!$B$4,OR(F39="",ABS(N(F39))&gt;=Comentários!$B$5))),"Sim","Não"))</f>
        <v/>
      </c>
      <c r="H39" s="33"/>
      <c r="I39" s="6"/>
      <c r="J39" s="33"/>
      <c r="K39" s="34"/>
      <c r="L39" s="6"/>
    </row>
    <row r="41" customFormat="false" ht="15" hidden="false" customHeight="false" outlineLevel="0" collapsed="false">
      <c r="A41" s="11" t="s">
        <v>23</v>
      </c>
    </row>
  </sheetData>
  <conditionalFormatting sqref="G10:G39">
    <cfRule type="cellIs" priority="2" operator="equal" aboveAverage="0" equalAverage="0" bottom="0" percent="0" rank="0" text="" dxfId="0">
      <formula>"Favorável"</formula>
    </cfRule>
    <cfRule type="cellIs" priority="3" operator="equal" aboveAverage="0" equalAverage="0" bottom="0" percent="0" rank="0" text="" dxfId="1">
      <formula>"Desfavorável"</formula>
    </cfRule>
    <cfRule type="cellIs" priority="4" operator="equal" aboveAverage="0" equalAverage="0" bottom="0" percent="0" rank="0" text="" dxfId="5">
      <formula>"Sim"</formula>
    </cfRule>
  </conditionalFormatting>
  <dataValidations count="4">
    <dataValidation allowBlank="false" errorStyle="stop" operator="between" showDropDown="false" showErrorMessage="false" showInputMessage="false" sqref="B6" type="list">
      <formula1>"R$ e %,R$ ou %"</formula1>
      <formula2>0</formula2>
    </dataValidation>
    <dataValidation allowBlank="true" errorStyle="stop" operator="between" showDropDown="false" showErrorMessage="false" showInputMessage="false" sqref="A10:A39" type="list">
      <formula1>"Jan,Fev,Mar,Abr,Mai,Jun,Jul,Ago,Set,Out,Nov,Dez"</formula1>
      <formula2>0</formula2>
    </dataValidation>
    <dataValidation allowBlank="true" errorStyle="stop" operator="between" showDropDown="false" showErrorMessage="false" showInputMessage="false" sqref="B10:B39" type="list">
      <formula1>Orçado!$A$5:$A$20</formula1>
      <formula2>0</formula2>
    </dataValidation>
    <dataValidation allowBlank="true" errorStyle="stop" operator="between" showDropDown="false" showErrorMessage="false" showInputMessage="false" sqref="L10:L39" type="list">
      <formula1>"Aberta,Em andamento,Concluída"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2026-11-05T07:35:26Z</dcterms:created>
  <dc:creator>openpyxl</dc:creator>
  <dc:description/>
  <dc:language>en-US</dc:language>
  <cp:lastModifiedBy/>
  <dcterms:modified xsi:type="dcterms:W3CDTF">2026-11-05T07:35:26Z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