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Premissas" sheetId="2" state="visible" r:id="rId4"/>
    <sheet name="Receita" sheetId="3" state="visible" r:id="rId5"/>
    <sheet name="Custos" sheetId="4" state="visible" r:id="rId6"/>
    <sheet name="DRE" sheetId="5" state="visible" r:id="rId7"/>
    <sheet name="Sensibilidade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<sst xmlns="http://schemas.openxmlformats.org/spreadsheetml/2006/main" count="352" uniqueCount="202">
  <si>
    <t xml:space="preserve">Forecast por drivers · Empresa Exemplo Ltda.</t>
  </si>
  <si>
    <t xml:space="preserve">Modelo LeverPro: a projeção do ano nasce dos drivers do negócio, não de um percentual sobre o ano passado.</t>
  </si>
  <si>
    <t xml:space="preserve">O que é</t>
  </si>
  <si>
    <t xml:space="preserve">Um forecast de 12 meses em que receita, custos e despesas são calculados a partir de drivers: leads, conversão, churn, ticket, custo por cliente, headcount e salário.</t>
  </si>
  <si>
    <t xml:space="preserve">Mudou um driver, mudou o ano inteiro. A aba Sensibilidade mostra qual driver mexe mais no lucro.</t>
  </si>
  <si>
    <t xml:space="preserve">Como preencher</t>
  </si>
  <si>
    <t xml:space="preserve">1</t>
  </si>
  <si>
    <t xml:space="preserve">Aba Premissas: ajuste as premissas gerais (base de clientes no início, impostos, comissão, encargos, IR e CSLL, reajuste das despesas fixas).</t>
  </si>
  <si>
    <t xml:space="preserve">2</t>
  </si>
  <si>
    <t xml:space="preserve">Ainda em Premissas: preencha os drivers mês a mês. Eles podem variar: sazonalidade de leads, reajuste de preço, contratações planejadas.</t>
  </si>
  <si>
    <t xml:space="preserve">3</t>
  </si>
  <si>
    <t xml:space="preserve">Preencha o valor base mensal de cada grupo de despesa fixa. O reajuste entra a partir do mês escolhido.</t>
  </si>
  <si>
    <t xml:space="preserve">4</t>
  </si>
  <si>
    <t xml:space="preserve">Confira Receita e Custos: são só fórmulas, para você auditar de onde vem cada número.</t>
  </si>
  <si>
    <t xml:space="preserve">5</t>
  </si>
  <si>
    <t xml:space="preserve">Leia a DRE projetada e a aba Sensibilidade. Use o driver de maior impacto para priorizar o plano de ação.</t>
  </si>
  <si>
    <t xml:space="preserve">Legenda de cores</t>
  </si>
  <si>
    <t xml:space="preserve">Azul em fundo claro</t>
  </si>
  <si>
    <t xml:space="preserve">Célula de entrada: digite aqui.</t>
  </si>
  <si>
    <t xml:space="preserve">Preto</t>
  </si>
  <si>
    <t xml:space="preserve">Fórmula: não digite por cima.</t>
  </si>
  <si>
    <t xml:space="preserve">Negrito com borda</t>
  </si>
  <si>
    <t xml:space="preserve">Subtotal ou total.</t>
  </si>
  <si>
    <t xml:space="preserve">Como o modelo conta</t>
  </si>
  <si>
    <t xml:space="preserve">Novos clientes = leads × taxa de conversão. Cancelamentos = clientes no início do mês × churn. Receita = clientes no fim do mês × ticket médio.</t>
  </si>
  <si>
    <t xml:space="preserve">Custo de servir = clientes ativos × custo unitário. Pessoal = headcount × salário médio × (1 + encargos e benefícios).</t>
  </si>
  <si>
    <t xml:space="preserve">IR e CSLL calculados sobre o resultado positivo de cada mês (simplificação). Valores do exemplo são fictícios: troque pelos seus.</t>
  </si>
  <si>
    <t xml:space="preserve">Contato</t>
  </si>
  <si>
    <t xml:space="preserve">Dúvidas e sugestões: @alyssonguimaraes no Instagram e no LinkedIn.</t>
  </si>
  <si>
    <t xml:space="preserve">Modelo LeverPro · @alyssonguimaraes</t>
  </si>
  <si>
    <t xml:space="preserve">Premissas e drivers</t>
  </si>
  <si>
    <t xml:space="preserve">Tudo que está em azul é premissa. As outras abas só calculam.</t>
  </si>
  <si>
    <t xml:space="preserve">Premissas gerais</t>
  </si>
  <si>
    <t xml:space="preserve">Valor</t>
  </si>
  <si>
    <t xml:space="preserve">Observação</t>
  </si>
  <si>
    <t xml:space="preserve">Clientes ativos no início do ano</t>
  </si>
  <si>
    <t xml:space="preserve">Base em 31/12 do ano anterior</t>
  </si>
  <si>
    <t xml:space="preserve">Impostos sobre a receita</t>
  </si>
  <si>
    <t xml:space="preserve">Percentual médio sobre a receita bruta (exemplo)</t>
  </si>
  <si>
    <t xml:space="preserve">Comissão sobre a receita bruta</t>
  </si>
  <si>
    <t xml:space="preserve">Comissões de vendas e parceiros</t>
  </si>
  <si>
    <t xml:space="preserve">Encargos e benefícios sobre salários</t>
  </si>
  <si>
    <t xml:space="preserve">INSS, FGTS, férias, 13º e benefícios (exemplo)</t>
  </si>
  <si>
    <t xml:space="preserve">Alíquota de IR e CSLL</t>
  </si>
  <si>
    <t xml:space="preserve">Sobre o resultado positivo do mês (simplificação)</t>
  </si>
  <si>
    <t xml:space="preserve">Reajuste das despesas fixas</t>
  </si>
  <si>
    <t xml:space="preserve">Aplicado a partir do mês do reajuste</t>
  </si>
  <si>
    <t xml:space="preserve">Mês do reajuste</t>
  </si>
  <si>
    <t xml:space="preserve">jul/27</t>
  </si>
  <si>
    <t xml:space="preserve">Escolha na lista</t>
  </si>
  <si>
    <t xml:space="preserve">Depreciação e amortização mensal</t>
  </si>
  <si>
    <t xml:space="preserve">Valor fixo por mês</t>
  </si>
  <si>
    <t xml:space="preserve">Drivers por mês</t>
  </si>
  <si>
    <t xml:space="preserve">Unidade</t>
  </si>
  <si>
    <t xml:space="preserve">jan/27</t>
  </si>
  <si>
    <t xml:space="preserve">fev/27</t>
  </si>
  <si>
    <t xml:space="preserve">mar/27</t>
  </si>
  <si>
    <t xml:space="preserve">abr/27</t>
  </si>
  <si>
    <t xml:space="preserve">mai/27</t>
  </si>
  <si>
    <t xml:space="preserve">jun/27</t>
  </si>
  <si>
    <t xml:space="preserve">ago/27</t>
  </si>
  <si>
    <t xml:space="preserve">set/27</t>
  </si>
  <si>
    <t xml:space="preserve">out/27</t>
  </si>
  <si>
    <t xml:space="preserve">nov/27</t>
  </si>
  <si>
    <t xml:space="preserve">dez/27</t>
  </si>
  <si>
    <t xml:space="preserve">Leads gerados</t>
  </si>
  <si>
    <t xml:space="preserve">leads</t>
  </si>
  <si>
    <t xml:space="preserve">Taxa de conversão</t>
  </si>
  <si>
    <t xml:space="preserve">% dos leads</t>
  </si>
  <si>
    <t xml:space="preserve">Churn mensal</t>
  </si>
  <si>
    <t xml:space="preserve">% da base</t>
  </si>
  <si>
    <t xml:space="preserve">Ticket médio mensal</t>
  </si>
  <si>
    <t xml:space="preserve">R$ por cliente</t>
  </si>
  <si>
    <t xml:space="preserve">Custo unitário de servir</t>
  </si>
  <si>
    <t xml:space="preserve">Headcount</t>
  </si>
  <si>
    <t xml:space="preserve">pessoas</t>
  </si>
  <si>
    <t xml:space="preserve">Salário médio</t>
  </si>
  <si>
    <t xml:space="preserve">R$ por pessoa</t>
  </si>
  <si>
    <t xml:space="preserve">Despesas fixas</t>
  </si>
  <si>
    <t xml:space="preserve">Valor base mensal</t>
  </si>
  <si>
    <t xml:space="preserve">Antes do reajuste</t>
  </si>
  <si>
    <t xml:space="preserve">Ocupação</t>
  </si>
  <si>
    <t xml:space="preserve">Administrativas</t>
  </si>
  <si>
    <t xml:space="preserve">Marketing e vendas</t>
  </si>
  <si>
    <t xml:space="preserve">Tecnologia</t>
  </si>
  <si>
    <t xml:space="preserve">Receita calculada pelos drivers</t>
  </si>
  <si>
    <t xml:space="preserve">Clientes no fim do mês × ticket médio. Nada para digitar aqui.</t>
  </si>
  <si>
    <t xml:space="preserve">Linha</t>
  </si>
  <si>
    <t xml:space="preserve">Ano</t>
  </si>
  <si>
    <t xml:space="preserve">Clientes no início do mês</t>
  </si>
  <si>
    <t xml:space="preserve">clientes</t>
  </si>
  <si>
    <t xml:space="preserve">Novos clientes (leads × conversão)</t>
  </si>
  <si>
    <t xml:space="preserve">Cancelamentos (início × churn)</t>
  </si>
  <si>
    <t xml:space="preserve">Clientes no fim do mês</t>
  </si>
  <si>
    <t xml:space="preserve">R$</t>
  </si>
  <si>
    <t xml:space="preserve">Receita bruta</t>
  </si>
  <si>
    <t xml:space="preserve">(−) Impostos sobre a receita</t>
  </si>
  <si>
    <t xml:space="preserve">Receita líquida</t>
  </si>
  <si>
    <t xml:space="preserve">Na coluna Ano: clientes no início de janeiro, no fim de dezembro e ticket médio efetivo do ano.</t>
  </si>
  <si>
    <t xml:space="preserve">Custos e despesas calculados pelos drivers</t>
  </si>
  <si>
    <t xml:space="preserve">Variáveis acompanham clientes e receita; pessoal acompanha o headcount; fixas seguem o reajuste.</t>
  </si>
  <si>
    <t xml:space="preserve">Custos variáveis</t>
  </si>
  <si>
    <t xml:space="preserve">Clientes ativos</t>
  </si>
  <si>
    <t xml:space="preserve">Custo de servir</t>
  </si>
  <si>
    <t xml:space="preserve">Comissões</t>
  </si>
  <si>
    <t xml:space="preserve">Total de custos variáveis</t>
  </si>
  <si>
    <t xml:space="preserve">Pessoal</t>
  </si>
  <si>
    <t xml:space="preserve">Folha com encargos e benefícios</t>
  </si>
  <si>
    <t xml:space="preserve">Fator de reajuste</t>
  </si>
  <si>
    <t xml:space="preserve">x</t>
  </si>
  <si>
    <t xml:space="preserve">Total de despesas fixas</t>
  </si>
  <si>
    <t xml:space="preserve">Depreciação e amortização</t>
  </si>
  <si>
    <t xml:space="preserve">Total de custos e despesas</t>
  </si>
  <si>
    <t xml:space="preserve">DRE projetada · 2027</t>
  </si>
  <si>
    <t xml:space="preserve">Montada a partir das abas Receita e Custos. AV = % da receita líquida do ano.</t>
  </si>
  <si>
    <t xml:space="preserve">AV %</t>
  </si>
  <si>
    <t xml:space="preserve">(−) Custo de servir</t>
  </si>
  <si>
    <t xml:space="preserve">(−) Comissões</t>
  </si>
  <si>
    <t xml:space="preserve">Margem de contribuição</t>
  </si>
  <si>
    <t xml:space="preserve">(−) Pessoal</t>
  </si>
  <si>
    <t xml:space="preserve">(−) Despesas fixas</t>
  </si>
  <si>
    <t xml:space="preserve">EBITDA</t>
  </si>
  <si>
    <t xml:space="preserve">(−) Depreciação e amortização</t>
  </si>
  <si>
    <t xml:space="preserve">Resultado antes de IR e CSLL</t>
  </si>
  <si>
    <t xml:space="preserve">(−) IR e CSLL</t>
  </si>
  <si>
    <t xml:space="preserve">Lucro líquido</t>
  </si>
  <si>
    <t xml:space="preserve">Indicadores</t>
  </si>
  <si>
    <t xml:space="preserve">Margem EBITDA</t>
  </si>
  <si>
    <t xml:space="preserve">Margem líquida</t>
  </si>
  <si>
    <t xml:space="preserve">Clientes ativos no fim do mês</t>
  </si>
  <si>
    <t xml:space="preserve">Sensibilidade do lucro do ano a cada driver</t>
  </si>
  <si>
    <t xml:space="preserve">Cada linha muda um driver em todos os meses e mantém os outros. A memória de cálculo está abaixo.</t>
  </si>
  <si>
    <t xml:space="preserve">Variação testada (para mais e para menos)</t>
  </si>
  <si>
    <t xml:space="preserve">Driver</t>
  </si>
  <si>
    <t xml:space="preserve">Lucro do ano com queda</t>
  </si>
  <si>
    <t xml:space="preserve">Lucro do ano base</t>
  </si>
  <si>
    <t xml:space="preserve">Lucro do ano com aumento</t>
  </si>
  <si>
    <t xml:space="preserve">Efeito da queda</t>
  </si>
  <si>
    <t xml:space="preserve">Efeito do aumento</t>
  </si>
  <si>
    <t xml:space="preserve">Amplitude</t>
  </si>
  <si>
    <t xml:space="preserve">Leads</t>
  </si>
  <si>
    <t xml:space="preserve">Conversão</t>
  </si>
  <si>
    <t xml:space="preserve">Churn</t>
  </si>
  <si>
    <t xml:space="preserve">Ticket médio</t>
  </si>
  <si>
    <t xml:space="preserve">Custo unitário</t>
  </si>
  <si>
    <t xml:space="preserve">Conferência: base da sensibilidade menos lucro da DRE</t>
  </si>
  <si>
    <t xml:space="preserve">Driver de maior impacto</t>
  </si>
  <si>
    <t xml:space="preserve">Memória de cálculo: o modelo refeito para cada cenário</t>
  </si>
  <si>
    <t xml:space="preserve">Cenário</t>
  </si>
  <si>
    <t xml:space="preserve">Variação</t>
  </si>
  <si>
    <t xml:space="preserve">Base · Clientes no fim</t>
  </si>
  <si>
    <t xml:space="preserve">–</t>
  </si>
  <si>
    <t xml:space="preserve">Base · Resultado antes de IR</t>
  </si>
  <si>
    <t xml:space="preserve">Base · Lucro líquido</t>
  </si>
  <si>
    <t xml:space="preserve">Leads com queda · Clientes no fim</t>
  </si>
  <si>
    <t xml:space="preserve">Leads com queda · Resultado antes de IR</t>
  </si>
  <si>
    <t xml:space="preserve">Leads com queda · Lucro líquido</t>
  </si>
  <si>
    <t xml:space="preserve">Leads com aumento · Clientes no fim</t>
  </si>
  <si>
    <t xml:space="preserve">Leads com aumento · Resultado antes de IR</t>
  </si>
  <si>
    <t xml:space="preserve">Leads com aumento · Lucro líquido</t>
  </si>
  <si>
    <t xml:space="preserve">Conversão com queda · Clientes no fim</t>
  </si>
  <si>
    <t xml:space="preserve">Conversão com queda · Resultado antes de IR</t>
  </si>
  <si>
    <t xml:space="preserve">Conversão com queda · Lucro líquido</t>
  </si>
  <si>
    <t xml:space="preserve">Conversão com aumento · Clientes no fim</t>
  </si>
  <si>
    <t xml:space="preserve">Conversão com aumento · Resultado antes de IR</t>
  </si>
  <si>
    <t xml:space="preserve">Conversão com aumento · Lucro líquido</t>
  </si>
  <si>
    <t xml:space="preserve">Churn com queda · Clientes no fim</t>
  </si>
  <si>
    <t xml:space="preserve">Churn com queda · Resultado antes de IR</t>
  </si>
  <si>
    <t xml:space="preserve">Churn com queda · Lucro líquido</t>
  </si>
  <si>
    <t xml:space="preserve">Churn com aumento · Clientes no fim</t>
  </si>
  <si>
    <t xml:space="preserve">Churn com aumento · Resultado antes de IR</t>
  </si>
  <si>
    <t xml:space="preserve">Churn com aumento · Lucro líquido</t>
  </si>
  <si>
    <t xml:space="preserve">Ticket médio com queda · Clientes no fim</t>
  </si>
  <si>
    <t xml:space="preserve">Ticket médio com queda · Resultado antes de IR</t>
  </si>
  <si>
    <t xml:space="preserve">Ticket médio com queda · Lucro líquido</t>
  </si>
  <si>
    <t xml:space="preserve">Ticket médio com aumento · Clientes no fim</t>
  </si>
  <si>
    <t xml:space="preserve">Ticket médio com aumento · Resultado antes de IR</t>
  </si>
  <si>
    <t xml:space="preserve">Ticket médio com aumento · Lucro líquido</t>
  </si>
  <si>
    <t xml:space="preserve">Custo unitário com queda · Clientes no fim</t>
  </si>
  <si>
    <t xml:space="preserve">Custo unitário com queda · Resultado antes de IR</t>
  </si>
  <si>
    <t xml:space="preserve">Custo unitário com queda · Lucro líquido</t>
  </si>
  <si>
    <t xml:space="preserve">Custo unitário com aumento · Clientes no fim</t>
  </si>
  <si>
    <t xml:space="preserve">Custo unitário com aumento · Resultado antes de IR</t>
  </si>
  <si>
    <t xml:space="preserve">Custo unitário com aumento · Lucro líquido</t>
  </si>
  <si>
    <t xml:space="preserve">Headcount com queda · Clientes no fim</t>
  </si>
  <si>
    <t xml:space="preserve">Headcount com queda · Resultado antes de IR</t>
  </si>
  <si>
    <t xml:space="preserve">Headcount com queda · Lucro líquido</t>
  </si>
  <si>
    <t xml:space="preserve">Headcount com aumento · Clientes no fim</t>
  </si>
  <si>
    <t xml:space="preserve">Headcount com aumento · Resultado antes de IR</t>
  </si>
  <si>
    <t xml:space="preserve">Headcount com aumento · Lucro líquido</t>
  </si>
  <si>
    <t xml:space="preserve">Salário médio com queda · Clientes no fim</t>
  </si>
  <si>
    <t xml:space="preserve">Salário médio com queda · Resultado antes de IR</t>
  </si>
  <si>
    <t xml:space="preserve">Salário médio com queda · Lucro líquido</t>
  </si>
  <si>
    <t xml:space="preserve">Salário médio com aumento · Clientes no fim</t>
  </si>
  <si>
    <t xml:space="preserve">Salário médio com aumento · Resultado antes de IR</t>
  </si>
  <si>
    <t xml:space="preserve">Salário médio com aumento · Lucro líquido</t>
  </si>
  <si>
    <t xml:space="preserve">Despesas fixas com queda · Clientes no fim</t>
  </si>
  <si>
    <t xml:space="preserve">Despesas fixas com queda · Resultado antes de IR</t>
  </si>
  <si>
    <t xml:space="preserve">Despesas fixas com queda · Lucro líquido</t>
  </si>
  <si>
    <t xml:space="preserve">Despesas fixas com aumento · Clientes no fim</t>
  </si>
  <si>
    <t xml:space="preserve">Despesas fixas com aumento · Resultado antes de IR</t>
  </si>
  <si>
    <t xml:space="preserve">Despesas fixas com aumento · Lucro líquido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</si>
</sst>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[RED]\-#,##0;\-"/>
    <numFmt numFmtId="166" formatCode="0.0%;[RED]\-0.0%;\-"/>
    <numFmt numFmtId="167" formatCode="&quot;R$ &quot;#,##0;[RED]&quot;-R$ &quot;#,##0;\-"/>
    <numFmt numFmtId="168" formatCode="#,##0.0;[RED]\-#,##0.0;\-"/>
    <numFmt numFmtId="169" formatCode="0.00"/>
    <numFmt numFmtId="170" formatCode="#,##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B3F"/>
      <name val="Calibri"/>
      <family val="0"/>
      <charset val="1"/>
    </font>
    <font>
      <i val="true"/>
      <sz val="10"/>
      <color rgb="FF5E6B8C"/>
      <name val="Calibri"/>
      <family val="0"/>
      <charset val="1"/>
    </font>
    <font>
      <b val="true"/>
      <sz val="12"/>
      <color rgb="FF0B1B3F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2F5BEA"/>
      <name val="Calibri"/>
      <family val="0"/>
      <charset val="1"/>
    </font>
    <font>
      <i val="true"/>
      <sz val="9"/>
      <color rgb="FF5E6B8C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2F5BEA"/>
      <name val="Calibri"/>
      <family val="0"/>
      <charset val="1"/>
    </font>
    <font>
      <sz val="10"/>
      <color rgb="FF5E6B8C"/>
      <name val="Calibri"/>
      <family val="0"/>
      <charset val="1"/>
    </font>
    <font>
      <b val="true"/>
      <sz val="10"/>
      <color rgb="FF5E6B8C"/>
      <name val="Calibri"/>
      <family val="0"/>
      <charset val="1"/>
    </font>
    <font>
      <sz val="11"/>
      <color rgb="FF5E6B8C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4F6FB"/>
        <bgColor rgb="FFEEF2FA"/>
      </patternFill>
    </fill>
    <fill>
      <patternFill patternType="solid">
        <fgColor rgb="FF0B1B3F"/>
        <bgColor rgb="FF003300"/>
      </patternFill>
    </fill>
    <fill>
      <patternFill patternType="solid">
        <fgColor rgb="FFEEF2FA"/>
        <bgColor rgb="FFF4F6FB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>
        <color rgb="FF0B1B3F"/>
      </top>
      <bottom/>
      <diagonal/>
    </border>
    <border diagonalUp="false" diagonalDown="false">
      <left/>
      <right/>
      <top/>
      <bottom style="hair">
        <color rgb="FFD6DEEF"/>
      </bottom>
      <diagonal/>
    </border>
    <border diagonalUp="false" diagonalDown="false">
      <left/>
      <right/>
      <top style="medium">
        <color rgb="FF0B1B3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BE4B48"/>
      <rgbColor rgb="FFF4F6FB"/>
      <rgbColor rgb="FFEEF2FA"/>
      <rgbColor rgb="FF660066"/>
      <rgbColor rgb="FFFF8080"/>
      <rgbColor rgb="FF0066CC"/>
      <rgbColor rgb="FFD6DE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5BEA"/>
      <rgbColor rgb="FF33CCCC"/>
      <rgbColor rgb="FF99CC00"/>
      <rgbColor rgb="FFFFCC00"/>
      <rgbColor rgb="FFFF9900"/>
      <rgbColor rgb="FFFF6600"/>
      <rgbColor rgb="FF5E6B8C"/>
      <rgbColor rgb="FF4F81BD"/>
      <rgbColor rgb="FF0B1B3F"/>
      <rgbColor rgb="FF4A7EBB"/>
      <rgbColor rgb="FF003300"/>
      <rgbColor rgb="FF333300"/>
      <rgbColor rgb="FF993300"/>
      <rgbColor rgb="FFC0504D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Receita líquida e lucro líquido por mês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DRE!A7</c:f>
              <c:strCache>
                <c:ptCount val="1"/>
                <c:pt idx="0">
                  <c:v>Receita líquida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DRE!$B$4:$M$4</c:f>
              <c:strCache>
                <c:ptCount val="12"/>
                <c:pt idx="0">
                  <c:v>jan/27</c:v>
                </c:pt>
                <c:pt idx="1">
                  <c:v>fev/27</c:v>
                </c:pt>
                <c:pt idx="2">
                  <c:v>mar/27</c:v>
                </c:pt>
                <c:pt idx="3">
                  <c:v>abr/27</c:v>
                </c:pt>
                <c:pt idx="4">
                  <c:v>mai/27</c:v>
                </c:pt>
                <c:pt idx="5">
                  <c:v>jun/27</c:v>
                </c:pt>
                <c:pt idx="6">
                  <c:v>jul/27</c:v>
                </c:pt>
                <c:pt idx="7">
                  <c:v>ago/27</c:v>
                </c:pt>
                <c:pt idx="8">
                  <c:v>set/27</c:v>
                </c:pt>
                <c:pt idx="9">
                  <c:v>out/27</c:v>
                </c:pt>
                <c:pt idx="10">
                  <c:v>nov/27</c:v>
                </c:pt>
                <c:pt idx="11">
                  <c:v>dez/27</c:v>
                </c:pt>
              </c:strCache>
            </c:strRef>
          </c:cat>
          <c:val>
            <c:numRef>
              <c:f>DRE!$B$7:$M$7</c:f>
              <c:numCache>
                <c:formatCode>"R$ "#,##0;[RED]"-R$ "#,##0;\-</c:formatCode>
                <c:ptCount val="12"/>
                <c:pt idx="0">
                  <c:v>554605.28</c:v>
                </c:pt>
                <c:pt idx="1">
                  <c:v>568859.21384</c:v>
                </c:pt>
                <c:pt idx="2">
                  <c:v>586671.06113552</c:v>
                </c:pt>
                <c:pt idx="3">
                  <c:v>602800.547790539</c:v>
                </c:pt>
                <c:pt idx="4">
                  <c:v>619865.685739147</c:v>
                </c:pt>
                <c:pt idx="5">
                  <c:v>633974.390652886</c:v>
                </c:pt>
                <c:pt idx="6">
                  <c:v>645836.954058522</c:v>
                </c:pt>
                <c:pt idx="7">
                  <c:v>660664.791069235</c:v>
                </c:pt>
                <c:pt idx="8">
                  <c:v>677747.415665712</c:v>
                </c:pt>
                <c:pt idx="9">
                  <c:v>695744.722521066</c:v>
                </c:pt>
                <c:pt idx="10">
                  <c:v>711410.338625603</c:v>
                </c:pt>
                <c:pt idx="11">
                  <c:v>717697.811175839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DRE!A17</c:f>
              <c:strCache>
                <c:ptCount val="1"/>
                <c:pt idx="0">
                  <c:v>Lucro líquido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DRE!$B$4:$M$4</c:f>
              <c:strCache>
                <c:ptCount val="12"/>
                <c:pt idx="0">
                  <c:v>jan/27</c:v>
                </c:pt>
                <c:pt idx="1">
                  <c:v>fev/27</c:v>
                </c:pt>
                <c:pt idx="2">
                  <c:v>mar/27</c:v>
                </c:pt>
                <c:pt idx="3">
                  <c:v>abr/27</c:v>
                </c:pt>
                <c:pt idx="4">
                  <c:v>mai/27</c:v>
                </c:pt>
                <c:pt idx="5">
                  <c:v>jun/27</c:v>
                </c:pt>
                <c:pt idx="6">
                  <c:v>jul/27</c:v>
                </c:pt>
                <c:pt idx="7">
                  <c:v>ago/27</c:v>
                </c:pt>
                <c:pt idx="8">
                  <c:v>set/27</c:v>
                </c:pt>
                <c:pt idx="9">
                  <c:v>out/27</c:v>
                </c:pt>
                <c:pt idx="10">
                  <c:v>nov/27</c:v>
                </c:pt>
                <c:pt idx="11">
                  <c:v>dez/27</c:v>
                </c:pt>
              </c:strCache>
            </c:strRef>
          </c:cat>
          <c:val>
            <c:numRef>
              <c:f>DRE!$B$17:$M$17</c:f>
              <c:numCache>
                <c:formatCode>"R$ "#,##0;[RED]"-R$ "#,##0;\-</c:formatCode>
                <c:ptCount val="12"/>
                <c:pt idx="0">
                  <c:v>7002.65280000005</c:v>
                </c:pt>
                <c:pt idx="1">
                  <c:v>13986.3624384</c:v>
                </c:pt>
                <c:pt idx="2">
                  <c:v>22713.2704647552</c:v>
                </c:pt>
                <c:pt idx="3">
                  <c:v>16029.9065145306</c:v>
                </c:pt>
                <c:pt idx="4">
                  <c:v>24390.9645712109</c:v>
                </c:pt>
                <c:pt idx="5">
                  <c:v>31303.5193506443</c:v>
                </c:pt>
                <c:pt idx="6">
                  <c:v>17810.5779249302</c:v>
                </c:pt>
                <c:pt idx="7">
                  <c:v>25075.4712105817</c:v>
                </c:pt>
                <c:pt idx="8">
                  <c:v>33445.0968439489</c:v>
                </c:pt>
                <c:pt idx="9">
                  <c:v>27676.8707133821</c:v>
                </c:pt>
                <c:pt idx="10">
                  <c:v>35352.2335576876</c:v>
                </c:pt>
                <c:pt idx="11">
                  <c:v>38432.7784194186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5741656"/>
        <c:axId val="54634732"/>
      </c:lineChart>
      <c:catAx>
        <c:axId val="95741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634732"/>
        <c:crosses val="autoZero"/>
        <c:auto val="1"/>
        <c:lblAlgn val="ctr"/>
        <c:lblOffset val="100"/>
        <c:noMultiLvlLbl val="0"/>
      </c:catAx>
      <c:valAx>
        <c:axId val="5463473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74165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Efeito no lucro do ano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Sensibilidade!E5</c:f>
              <c:strCache>
                <c:ptCount val="1"/>
                <c:pt idx="0">
                  <c:v>Efeito da queda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Sensibilidade!$A$6:$A$13</c:f>
              <c:strCache>
                <c:ptCount val="8"/>
                <c:pt idx="0">
                  <c:v>Leads</c:v>
                </c:pt>
                <c:pt idx="1">
                  <c:v>Conversão</c:v>
                </c:pt>
                <c:pt idx="2">
                  <c:v>Churn</c:v>
                </c:pt>
                <c:pt idx="3">
                  <c:v>Ticket médio</c:v>
                </c:pt>
                <c:pt idx="4">
                  <c:v>Custo unitário</c:v>
                </c:pt>
                <c:pt idx="5">
                  <c:v>Headcount</c:v>
                </c:pt>
                <c:pt idx="6">
                  <c:v>Salário médio</c:v>
                </c:pt>
                <c:pt idx="7">
                  <c:v>Despesas fixas</c:v>
                </c:pt>
              </c:strCache>
            </c:strRef>
          </c:cat>
          <c:val>
            <c:numRef>
              <c:f>Sensibilidade!$E$6:$E$13</c:f>
              <c:numCache>
                <c:formatCode>"R$ "#,##0;[RED]"-R$ "#,##0;\-</c:formatCode>
                <c:ptCount val="8"/>
                <c:pt idx="0">
                  <c:v>-99498.3811553965</c:v>
                </c:pt>
                <c:pt idx="1">
                  <c:v>-99498.3811553965</c:v>
                </c:pt>
                <c:pt idx="2">
                  <c:v>46804.7278287032</c:v>
                </c:pt>
                <c:pt idx="3">
                  <c:v>-573412.334717608</c:v>
                </c:pt>
                <c:pt idx="4">
                  <c:v>102067.470067898</c:v>
                </c:pt>
                <c:pt idx="5">
                  <c:v>218790</c:v>
                </c:pt>
                <c:pt idx="6">
                  <c:v>218790</c:v>
                </c:pt>
                <c:pt idx="7">
                  <c:v>116087.4</c:v>
                </c:pt>
              </c:numCache>
            </c:numRef>
          </c:val>
        </c:ser>
        <c:ser>
          <c:idx val="1"/>
          <c:order val="1"/>
          <c:tx>
            <c:strRef>
              <c:f>Sensibilidade!F5</c:f>
              <c:strCache>
                <c:ptCount val="1"/>
                <c:pt idx="0">
                  <c:v>Efeito do aumento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Sensibilidade!$A$6:$A$13</c:f>
              <c:strCache>
                <c:ptCount val="8"/>
                <c:pt idx="0">
                  <c:v>Leads</c:v>
                </c:pt>
                <c:pt idx="1">
                  <c:v>Conversão</c:v>
                </c:pt>
                <c:pt idx="2">
                  <c:v>Churn</c:v>
                </c:pt>
                <c:pt idx="3">
                  <c:v>Ticket médio</c:v>
                </c:pt>
                <c:pt idx="4">
                  <c:v>Custo unitário</c:v>
                </c:pt>
                <c:pt idx="5">
                  <c:v>Headcount</c:v>
                </c:pt>
                <c:pt idx="6">
                  <c:v>Salário médio</c:v>
                </c:pt>
                <c:pt idx="7">
                  <c:v>Despesas fixas</c:v>
                </c:pt>
              </c:strCache>
            </c:strRef>
          </c:cat>
          <c:val>
            <c:numRef>
              <c:f>Sensibilidade!$F$6:$F$13</c:f>
              <c:numCache>
                <c:formatCode>"R$ "#,##0;[RED]"-R$ "#,##0;\-</c:formatCode>
                <c:ptCount val="8"/>
                <c:pt idx="0">
                  <c:v>99498.3811553966</c:v>
                </c:pt>
                <c:pt idx="1">
                  <c:v>99498.3811553962</c:v>
                </c:pt>
                <c:pt idx="2">
                  <c:v>-46099.5331695422</c:v>
                </c:pt>
                <c:pt idx="3">
                  <c:v>478146.840548848</c:v>
                </c:pt>
                <c:pt idx="4">
                  <c:v>-102259.121267899</c:v>
                </c:pt>
                <c:pt idx="5">
                  <c:v>-225860.300165951</c:v>
                </c:pt>
                <c:pt idx="6">
                  <c:v>-225860.300165951</c:v>
                </c:pt>
                <c:pt idx="7">
                  <c:v>-117341.9728</c:v>
                </c:pt>
              </c:numCache>
            </c:numRef>
          </c:val>
        </c:ser>
        <c:gapWidth val="150"/>
        <c:overlap val="0"/>
        <c:axId val="20823690"/>
        <c:axId val="30387274"/>
      </c:barChart>
      <c:catAx>
        <c:axId val="2082369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387274"/>
        <c:crosses val="autoZero"/>
        <c:auto val="1"/>
        <c:lblAlgn val="ctr"/>
        <c:lblOffset val="100"/>
        <c:noMultiLvlLbl val="0"/>
      </c:catAx>
      <c:valAx>
        <c:axId val="3038727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82369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24</xdr:row>
      <xdr:rowOff>130680</xdr:rowOff>
    </xdr:from>
    <xdr:to>
      <xdr:col>7</xdr:col>
      <xdr:colOff>448200</xdr:colOff>
      <xdr:row>39</xdr:row>
      <xdr:rowOff>153000</xdr:rowOff>
    </xdr:to>
    <xdr:graphicFrame>
      <xdr:nvGraphicFramePr>
        <xdr:cNvPr id="0" name="Chart 1"/>
        <xdr:cNvGraphicFramePr/>
      </xdr:nvGraphicFramePr>
      <xdr:xfrm>
        <a:off x="0" y="484812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1</xdr:row>
      <xdr:rowOff>130680</xdr:rowOff>
    </xdr:from>
    <xdr:to>
      <xdr:col>14</xdr:col>
      <xdr:colOff>684720</xdr:colOff>
      <xdr:row>17</xdr:row>
      <xdr:rowOff>56520</xdr:rowOff>
    </xdr:to>
    <xdr:graphicFrame>
      <xdr:nvGraphicFramePr>
        <xdr:cNvPr id="1" name="Chart 1"/>
        <xdr:cNvGraphicFramePr/>
      </xdr:nvGraphicFramePr>
      <xdr:xfrm>
        <a:off x="10431720" y="380880"/>
        <a:ext cx="57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0" hidden="false" customHeight="true" outlineLevel="0" collapsed="false">
      <c r="A5" s="4"/>
      <c r="B5" s="5" t="s">
        <v>3</v>
      </c>
    </row>
    <row r="6" customFormat="false" ht="18" hidden="false" customHeight="true" outlineLevel="0" collapsed="false">
      <c r="A6" s="4"/>
      <c r="B6" s="5" t="s">
        <v>4</v>
      </c>
    </row>
    <row r="7" customFormat="false" ht="15" hidden="false" customHeight="false" outlineLevel="0" collapsed="false">
      <c r="A7" s="3" t="s">
        <v>5</v>
      </c>
    </row>
    <row r="8" customFormat="false" ht="30" hidden="false" customHeight="true" outlineLevel="0" collapsed="false">
      <c r="A8" s="4" t="s">
        <v>6</v>
      </c>
      <c r="B8" s="5" t="s">
        <v>7</v>
      </c>
    </row>
    <row r="9" customFormat="false" ht="30" hidden="false" customHeight="true" outlineLevel="0" collapsed="false">
      <c r="A9" s="4" t="s">
        <v>8</v>
      </c>
      <c r="B9" s="5" t="s">
        <v>9</v>
      </c>
    </row>
    <row r="10" customFormat="false" ht="18" hidden="false" customHeight="true" outlineLevel="0" collapsed="false">
      <c r="A10" s="4" t="s">
        <v>10</v>
      </c>
      <c r="B10" s="5" t="s">
        <v>11</v>
      </c>
    </row>
    <row r="11" customFormat="false" ht="18" hidden="false" customHeight="true" outlineLevel="0" collapsed="false">
      <c r="A11" s="4" t="s">
        <v>12</v>
      </c>
      <c r="B11" s="5" t="s">
        <v>13</v>
      </c>
    </row>
    <row r="12" customFormat="false" ht="18" hidden="false" customHeight="true" outlineLevel="0" collapsed="false">
      <c r="A12" s="4" t="s">
        <v>14</v>
      </c>
      <c r="B12" s="5" t="s">
        <v>15</v>
      </c>
    </row>
    <row r="13" customFormat="false" ht="15" hidden="false" customHeight="false" outlineLevel="0" collapsed="false">
      <c r="A13" s="3" t="s">
        <v>16</v>
      </c>
    </row>
    <row r="14" customFormat="false" ht="18" hidden="false" customHeight="true" outlineLevel="0" collapsed="false">
      <c r="A14" s="6" t="s">
        <v>17</v>
      </c>
      <c r="B14" s="5" t="s">
        <v>18</v>
      </c>
    </row>
    <row r="15" customFormat="false" ht="18" hidden="false" customHeight="true" outlineLevel="0" collapsed="false">
      <c r="A15" s="4" t="s">
        <v>19</v>
      </c>
      <c r="B15" s="5" t="s">
        <v>20</v>
      </c>
    </row>
    <row r="16" customFormat="false" ht="18" hidden="false" customHeight="true" outlineLevel="0" collapsed="false">
      <c r="A16" s="7" t="s">
        <v>21</v>
      </c>
      <c r="B16" s="5" t="s">
        <v>22</v>
      </c>
    </row>
    <row r="17" customFormat="false" ht="15" hidden="false" customHeight="false" outlineLevel="0" collapsed="false">
      <c r="A17" s="3" t="s">
        <v>23</v>
      </c>
    </row>
    <row r="18" customFormat="false" ht="30" hidden="false" customHeight="true" outlineLevel="0" collapsed="false">
      <c r="A18" s="4"/>
      <c r="B18" s="5" t="s">
        <v>24</v>
      </c>
    </row>
    <row r="19" customFormat="false" ht="30" hidden="false" customHeight="true" outlineLevel="0" collapsed="false">
      <c r="A19" s="4"/>
      <c r="B19" s="5" t="s">
        <v>25</v>
      </c>
    </row>
    <row r="20" customFormat="false" ht="30" hidden="false" customHeight="true" outlineLevel="0" collapsed="false">
      <c r="A20" s="4"/>
      <c r="B20" s="5" t="s">
        <v>26</v>
      </c>
    </row>
    <row r="21" customFormat="false" ht="18" hidden="false" customHeight="true" outlineLevel="0" collapsed="false">
      <c r="A21" s="4" t="s">
        <v>27</v>
      </c>
      <c r="B21" s="5" t="s">
        <v>28</v>
      </c>
    </row>
    <row r="23" customFormat="false" ht="15" hidden="false" customHeight="false" outlineLevel="0" collapsed="false">
      <c r="A23" s="8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14" min="4" style="0" width="11"/>
  </cols>
  <sheetData>
    <row r="1" customFormat="false" ht="19.7" hidden="false" customHeight="false" outlineLevel="0" collapsed="false">
      <c r="A1" s="1" t="s">
        <v>30</v>
      </c>
    </row>
    <row r="2" customFormat="false" ht="15" hidden="false" customHeight="false" outlineLevel="0" collapsed="false">
      <c r="A2" s="2" t="s">
        <v>31</v>
      </c>
    </row>
    <row r="4" customFormat="false" ht="21.75" hidden="false" customHeight="true" outlineLevel="0" collapsed="false">
      <c r="A4" s="9" t="s">
        <v>32</v>
      </c>
      <c r="B4" s="10" t="s">
        <v>33</v>
      </c>
      <c r="C4" s="10" t="s">
        <v>34</v>
      </c>
    </row>
    <row r="5" customFormat="false" ht="15" hidden="false" customHeight="false" outlineLevel="0" collapsed="false">
      <c r="A5" s="11" t="s">
        <v>35</v>
      </c>
      <c r="B5" s="12" t="n">
        <v>420</v>
      </c>
      <c r="C5" s="13" t="s">
        <v>36</v>
      </c>
    </row>
    <row r="6" customFormat="false" ht="15" hidden="false" customHeight="false" outlineLevel="0" collapsed="false">
      <c r="A6" s="11" t="s">
        <v>37</v>
      </c>
      <c r="B6" s="14" t="n">
        <v>0.11</v>
      </c>
      <c r="C6" s="13" t="s">
        <v>38</v>
      </c>
    </row>
    <row r="7" customFormat="false" ht="15" hidden="false" customHeight="false" outlineLevel="0" collapsed="false">
      <c r="A7" s="11" t="s">
        <v>39</v>
      </c>
      <c r="B7" s="14" t="n">
        <v>0.05</v>
      </c>
      <c r="C7" s="13" t="s">
        <v>40</v>
      </c>
    </row>
    <row r="8" customFormat="false" ht="15" hidden="false" customHeight="false" outlineLevel="0" collapsed="false">
      <c r="A8" s="11" t="s">
        <v>41</v>
      </c>
      <c r="B8" s="14" t="n">
        <v>0.7</v>
      </c>
      <c r="C8" s="13" t="s">
        <v>42</v>
      </c>
    </row>
    <row r="9" customFormat="false" ht="15" hidden="false" customHeight="false" outlineLevel="0" collapsed="false">
      <c r="A9" s="11" t="s">
        <v>43</v>
      </c>
      <c r="B9" s="14" t="n">
        <v>0.34</v>
      </c>
      <c r="C9" s="13" t="s">
        <v>44</v>
      </c>
    </row>
    <row r="10" customFormat="false" ht="15" hidden="false" customHeight="false" outlineLevel="0" collapsed="false">
      <c r="A10" s="11" t="s">
        <v>45</v>
      </c>
      <c r="B10" s="14" t="n">
        <v>0.05</v>
      </c>
      <c r="C10" s="13" t="s">
        <v>46</v>
      </c>
    </row>
    <row r="11" customFormat="false" ht="15" hidden="false" customHeight="false" outlineLevel="0" collapsed="false">
      <c r="A11" s="11" t="s">
        <v>47</v>
      </c>
      <c r="B11" s="15" t="s">
        <v>48</v>
      </c>
      <c r="C11" s="13" t="s">
        <v>49</v>
      </c>
    </row>
    <row r="12" customFormat="false" ht="15" hidden="false" customHeight="false" outlineLevel="0" collapsed="false">
      <c r="A12" s="11" t="s">
        <v>50</v>
      </c>
      <c r="B12" s="16" t="n">
        <v>15000</v>
      </c>
      <c r="C12" s="13" t="s">
        <v>51</v>
      </c>
    </row>
    <row r="14" customFormat="false" ht="21.75" hidden="false" customHeight="true" outlineLevel="0" collapsed="false">
      <c r="A14" s="9" t="s">
        <v>52</v>
      </c>
      <c r="B14" s="10" t="s">
        <v>53</v>
      </c>
      <c r="C14" s="10" t="s">
        <v>54</v>
      </c>
      <c r="D14" s="10" t="s">
        <v>55</v>
      </c>
      <c r="E14" s="10" t="s">
        <v>56</v>
      </c>
      <c r="F14" s="10" t="s">
        <v>57</v>
      </c>
      <c r="G14" s="10" t="s">
        <v>58</v>
      </c>
      <c r="H14" s="10" t="s">
        <v>59</v>
      </c>
      <c r="I14" s="10" t="s">
        <v>48</v>
      </c>
      <c r="J14" s="10" t="s">
        <v>60</v>
      </c>
      <c r="K14" s="10" t="s">
        <v>61</v>
      </c>
      <c r="L14" s="10" t="s">
        <v>62</v>
      </c>
      <c r="M14" s="10" t="s">
        <v>63</v>
      </c>
      <c r="N14" s="10" t="s">
        <v>64</v>
      </c>
    </row>
    <row r="15" customFormat="false" ht="15" hidden="false" customHeight="false" outlineLevel="0" collapsed="false">
      <c r="A15" s="11" t="s">
        <v>65</v>
      </c>
      <c r="B15" s="13" t="s">
        <v>66</v>
      </c>
      <c r="C15" s="12" t="n">
        <v>190</v>
      </c>
      <c r="D15" s="12" t="n">
        <v>205</v>
      </c>
      <c r="E15" s="12" t="n">
        <v>235</v>
      </c>
      <c r="F15" s="12" t="n">
        <v>225</v>
      </c>
      <c r="G15" s="12" t="n">
        <v>235</v>
      </c>
      <c r="H15" s="12" t="n">
        <v>215</v>
      </c>
      <c r="I15" s="12" t="n">
        <v>200</v>
      </c>
      <c r="J15" s="12" t="n">
        <v>225</v>
      </c>
      <c r="K15" s="12" t="n">
        <v>245</v>
      </c>
      <c r="L15" s="12" t="n">
        <v>255</v>
      </c>
      <c r="M15" s="12" t="n">
        <v>240</v>
      </c>
      <c r="N15" s="12" t="n">
        <v>170</v>
      </c>
    </row>
    <row r="16" customFormat="false" ht="15" hidden="false" customHeight="false" outlineLevel="0" collapsed="false">
      <c r="A16" s="11" t="s">
        <v>67</v>
      </c>
      <c r="B16" s="13" t="s">
        <v>68</v>
      </c>
      <c r="C16" s="14" t="n">
        <v>0.1</v>
      </c>
      <c r="D16" s="14" t="n">
        <v>0.1</v>
      </c>
      <c r="E16" s="14" t="n">
        <v>0.1</v>
      </c>
      <c r="F16" s="14" t="n">
        <v>0.1</v>
      </c>
      <c r="G16" s="14" t="n">
        <v>0.1</v>
      </c>
      <c r="H16" s="14" t="n">
        <v>0.1</v>
      </c>
      <c r="I16" s="14" t="n">
        <v>0.1</v>
      </c>
      <c r="J16" s="14" t="n">
        <v>0.1</v>
      </c>
      <c r="K16" s="14" t="n">
        <v>0.1</v>
      </c>
      <c r="L16" s="14" t="n">
        <v>0.1</v>
      </c>
      <c r="M16" s="14" t="n">
        <v>0.1</v>
      </c>
      <c r="N16" s="14" t="n">
        <v>0.1</v>
      </c>
    </row>
    <row r="17" customFormat="false" ht="15" hidden="false" customHeight="false" outlineLevel="0" collapsed="false">
      <c r="A17" s="11" t="s">
        <v>69</v>
      </c>
      <c r="B17" s="13" t="s">
        <v>70</v>
      </c>
      <c r="C17" s="14" t="n">
        <v>0.022</v>
      </c>
      <c r="D17" s="14" t="n">
        <v>0.022</v>
      </c>
      <c r="E17" s="14" t="n">
        <v>0.022</v>
      </c>
      <c r="F17" s="14" t="n">
        <v>0.022</v>
      </c>
      <c r="G17" s="14" t="n">
        <v>0.022</v>
      </c>
      <c r="H17" s="14" t="n">
        <v>0.022</v>
      </c>
      <c r="I17" s="14" t="n">
        <v>0.022</v>
      </c>
      <c r="J17" s="14" t="n">
        <v>0.022</v>
      </c>
      <c r="K17" s="14" t="n">
        <v>0.022</v>
      </c>
      <c r="L17" s="14" t="n">
        <v>0.022</v>
      </c>
      <c r="M17" s="14" t="n">
        <v>0.022</v>
      </c>
      <c r="N17" s="14" t="n">
        <v>0.022</v>
      </c>
    </row>
    <row r="18" customFormat="false" ht="15" hidden="false" customHeight="false" outlineLevel="0" collapsed="false">
      <c r="A18" s="11" t="s">
        <v>71</v>
      </c>
      <c r="B18" s="13" t="s">
        <v>72</v>
      </c>
      <c r="C18" s="16" t="n">
        <v>1450</v>
      </c>
      <c r="D18" s="16" t="n">
        <v>1450</v>
      </c>
      <c r="E18" s="16" t="n">
        <v>1450</v>
      </c>
      <c r="F18" s="16" t="n">
        <v>1450</v>
      </c>
      <c r="G18" s="16" t="n">
        <v>1450</v>
      </c>
      <c r="H18" s="16" t="n">
        <v>1450</v>
      </c>
      <c r="I18" s="16" t="n">
        <v>1450</v>
      </c>
      <c r="J18" s="16" t="n">
        <v>1450</v>
      </c>
      <c r="K18" s="16" t="n">
        <v>1450</v>
      </c>
      <c r="L18" s="16" t="n">
        <v>1450</v>
      </c>
      <c r="M18" s="16" t="n">
        <v>1450</v>
      </c>
      <c r="N18" s="16" t="n">
        <v>1450</v>
      </c>
    </row>
    <row r="19" customFormat="false" ht="15" hidden="false" customHeight="false" outlineLevel="0" collapsed="false">
      <c r="A19" s="11" t="s">
        <v>73</v>
      </c>
      <c r="B19" s="13" t="s">
        <v>72</v>
      </c>
      <c r="C19" s="16" t="n">
        <v>260</v>
      </c>
      <c r="D19" s="16" t="n">
        <v>260</v>
      </c>
      <c r="E19" s="16" t="n">
        <v>260</v>
      </c>
      <c r="F19" s="16" t="n">
        <v>260</v>
      </c>
      <c r="G19" s="16" t="n">
        <v>260</v>
      </c>
      <c r="H19" s="16" t="n">
        <v>260</v>
      </c>
      <c r="I19" s="16" t="n">
        <v>260</v>
      </c>
      <c r="J19" s="16" t="n">
        <v>260</v>
      </c>
      <c r="K19" s="16" t="n">
        <v>260</v>
      </c>
      <c r="L19" s="16" t="n">
        <v>260</v>
      </c>
      <c r="M19" s="16" t="n">
        <v>260</v>
      </c>
      <c r="N19" s="16" t="n">
        <v>260</v>
      </c>
    </row>
    <row r="20" customFormat="false" ht="15" hidden="false" customHeight="false" outlineLevel="0" collapsed="false">
      <c r="A20" s="11" t="s">
        <v>74</v>
      </c>
      <c r="B20" s="13" t="s">
        <v>75</v>
      </c>
      <c r="C20" s="12" t="n">
        <v>22</v>
      </c>
      <c r="D20" s="12" t="n">
        <v>22</v>
      </c>
      <c r="E20" s="12" t="n">
        <v>22</v>
      </c>
      <c r="F20" s="12" t="n">
        <v>24</v>
      </c>
      <c r="G20" s="12" t="n">
        <v>24</v>
      </c>
      <c r="H20" s="12" t="n">
        <v>24</v>
      </c>
      <c r="I20" s="12" t="n">
        <v>26</v>
      </c>
      <c r="J20" s="12" t="n">
        <v>26</v>
      </c>
      <c r="K20" s="12" t="n">
        <v>26</v>
      </c>
      <c r="L20" s="12" t="n">
        <v>28</v>
      </c>
      <c r="M20" s="12" t="n">
        <v>28</v>
      </c>
      <c r="N20" s="12" t="n">
        <v>28</v>
      </c>
    </row>
    <row r="21" customFormat="false" ht="15" hidden="false" customHeight="false" outlineLevel="0" collapsed="false">
      <c r="A21" s="11" t="s">
        <v>76</v>
      </c>
      <c r="B21" s="13" t="s">
        <v>77</v>
      </c>
      <c r="C21" s="16" t="n">
        <v>6500</v>
      </c>
      <c r="D21" s="16" t="n">
        <v>6500</v>
      </c>
      <c r="E21" s="16" t="n">
        <v>6500</v>
      </c>
      <c r="F21" s="16" t="n">
        <v>6500</v>
      </c>
      <c r="G21" s="16" t="n">
        <v>6500</v>
      </c>
      <c r="H21" s="16" t="n">
        <v>6500</v>
      </c>
      <c r="I21" s="16" t="n">
        <v>6500</v>
      </c>
      <c r="J21" s="16" t="n">
        <v>6500</v>
      </c>
      <c r="K21" s="16" t="n">
        <v>6500</v>
      </c>
      <c r="L21" s="16" t="n">
        <v>6500</v>
      </c>
      <c r="M21" s="16" t="n">
        <v>6500</v>
      </c>
      <c r="N21" s="16" t="n">
        <v>6500</v>
      </c>
    </row>
    <row r="23" customFormat="false" ht="21.75" hidden="false" customHeight="true" outlineLevel="0" collapsed="false">
      <c r="A23" s="9" t="s">
        <v>78</v>
      </c>
      <c r="B23" s="10" t="s">
        <v>79</v>
      </c>
      <c r="C23" s="10" t="s">
        <v>80</v>
      </c>
    </row>
    <row r="24" customFormat="false" ht="15" hidden="false" customHeight="false" outlineLevel="0" collapsed="false">
      <c r="A24" s="11" t="s">
        <v>81</v>
      </c>
      <c r="B24" s="16" t="n">
        <v>32000</v>
      </c>
      <c r="C24" s="17"/>
    </row>
    <row r="25" customFormat="false" ht="15" hidden="false" customHeight="false" outlineLevel="0" collapsed="false">
      <c r="A25" s="11" t="s">
        <v>82</v>
      </c>
      <c r="B25" s="16" t="n">
        <v>28000</v>
      </c>
      <c r="C25" s="17"/>
    </row>
    <row r="26" customFormat="false" ht="15" hidden="false" customHeight="false" outlineLevel="0" collapsed="false">
      <c r="A26" s="11" t="s">
        <v>83</v>
      </c>
      <c r="B26" s="16" t="n">
        <v>45000</v>
      </c>
      <c r="C26" s="17"/>
    </row>
    <row r="27" customFormat="false" ht="15" hidden="false" customHeight="false" outlineLevel="0" collapsed="false">
      <c r="A27" s="11" t="s">
        <v>84</v>
      </c>
      <c r="B27" s="16" t="n">
        <v>38000</v>
      </c>
      <c r="C27" s="17"/>
    </row>
    <row r="30" customFormat="false" ht="15" hidden="false" customHeight="false" outlineLevel="0" collapsed="false">
      <c r="A30" s="8" t="s">
        <v>29</v>
      </c>
    </row>
  </sheetData>
  <dataValidations count="1">
    <dataValidation allowBlank="false" error="Escolha um mês da lista." errorStyle="stop" errorTitle="Mês do reajuste" operator="between" showDropDown="false" showErrorMessage="false" showInputMessage="false" sqref="B11" type="list">
      <formula1>$C$14:$N$14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&amp;LModelo LeverPro · @alyssonguimaraes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0"/>
    <col collapsed="false" customWidth="true" hidden="false" outlineLevel="0" max="14" min="3" style="0" width="12"/>
    <col collapsed="false" customWidth="true" hidden="false" outlineLevel="0" max="15" min="15" style="0" width="14"/>
  </cols>
  <sheetData>
    <row r="1" customFormat="false" ht="19.7" hidden="false" customHeight="false" outlineLevel="0" collapsed="false">
      <c r="A1" s="1" t="s">
        <v>85</v>
      </c>
    </row>
    <row r="2" customFormat="false" ht="15" hidden="false" customHeight="false" outlineLevel="0" collapsed="false">
      <c r="A2" s="2" t="s">
        <v>86</v>
      </c>
    </row>
    <row r="4" customFormat="false" ht="21.75" hidden="false" customHeight="true" outlineLevel="0" collapsed="false">
      <c r="A4" s="9" t="s">
        <v>87</v>
      </c>
      <c r="B4" s="10" t="s">
        <v>53</v>
      </c>
      <c r="C4" s="10" t="s">
        <v>54</v>
      </c>
      <c r="D4" s="10" t="s">
        <v>55</v>
      </c>
      <c r="E4" s="10" t="s">
        <v>56</v>
      </c>
      <c r="F4" s="10" t="s">
        <v>57</v>
      </c>
      <c r="G4" s="10" t="s">
        <v>58</v>
      </c>
      <c r="H4" s="10" t="s">
        <v>59</v>
      </c>
      <c r="I4" s="10" t="s">
        <v>48</v>
      </c>
      <c r="J4" s="10" t="s">
        <v>60</v>
      </c>
      <c r="K4" s="10" t="s">
        <v>61</v>
      </c>
      <c r="L4" s="10" t="s">
        <v>62</v>
      </c>
      <c r="M4" s="10" t="s">
        <v>63</v>
      </c>
      <c r="N4" s="10" t="s">
        <v>64</v>
      </c>
      <c r="O4" s="10" t="s">
        <v>88</v>
      </c>
    </row>
    <row r="5" customFormat="false" ht="15" hidden="false" customHeight="false" outlineLevel="0" collapsed="false">
      <c r="A5" s="18" t="s">
        <v>89</v>
      </c>
      <c r="B5" s="19" t="s">
        <v>90</v>
      </c>
      <c r="C5" s="20" t="n">
        <f aca="false">Premissas!$B$5</f>
        <v>420</v>
      </c>
      <c r="D5" s="20" t="n">
        <f aca="false">C8</f>
        <v>429.76</v>
      </c>
      <c r="E5" s="20" t="n">
        <f aca="false">D8</f>
        <v>440.80528</v>
      </c>
      <c r="F5" s="20" t="n">
        <f aca="false">E8</f>
        <v>454.60756384</v>
      </c>
      <c r="G5" s="20" t="n">
        <f aca="false">F8</f>
        <v>467.10619743552</v>
      </c>
      <c r="H5" s="20" t="n">
        <f aca="false">G8</f>
        <v>480.329861091939</v>
      </c>
      <c r="I5" s="20" t="n">
        <f aca="false">H8</f>
        <v>491.262604147916</v>
      </c>
      <c r="J5" s="20" t="n">
        <f aca="false">I8</f>
        <v>500.454826856662</v>
      </c>
      <c r="K5" s="20" t="n">
        <f aca="false">J8</f>
        <v>511.944820665815</v>
      </c>
      <c r="L5" s="20" t="n">
        <f aca="false">K8</f>
        <v>525.182034611167</v>
      </c>
      <c r="M5" s="20" t="n">
        <f aca="false">L8</f>
        <v>539.128029849722</v>
      </c>
      <c r="N5" s="20" t="n">
        <f aca="false">M8</f>
        <v>551.267213193028</v>
      </c>
      <c r="O5" s="20" t="n">
        <f aca="false">C5</f>
        <v>420</v>
      </c>
    </row>
    <row r="6" customFormat="false" ht="15" hidden="false" customHeight="false" outlineLevel="0" collapsed="false">
      <c r="A6" s="18" t="s">
        <v>91</v>
      </c>
      <c r="B6" s="19" t="s">
        <v>90</v>
      </c>
      <c r="C6" s="20" t="n">
        <f aca="false">Premissas!C$15*Premissas!C$16</f>
        <v>19</v>
      </c>
      <c r="D6" s="20" t="n">
        <f aca="false">Premissas!D$15*Premissas!D$16</f>
        <v>20.5</v>
      </c>
      <c r="E6" s="20" t="n">
        <f aca="false">Premissas!E$15*Premissas!E$16</f>
        <v>23.5</v>
      </c>
      <c r="F6" s="20" t="n">
        <f aca="false">Premissas!F$15*Premissas!F$16</f>
        <v>22.5</v>
      </c>
      <c r="G6" s="20" t="n">
        <f aca="false">Premissas!G$15*Premissas!G$16</f>
        <v>23.5</v>
      </c>
      <c r="H6" s="20" t="n">
        <f aca="false">Premissas!H$15*Premissas!H$16</f>
        <v>21.5</v>
      </c>
      <c r="I6" s="20" t="n">
        <f aca="false">Premissas!I$15*Premissas!I$16</f>
        <v>20</v>
      </c>
      <c r="J6" s="20" t="n">
        <f aca="false">Premissas!J$15*Premissas!J$16</f>
        <v>22.5</v>
      </c>
      <c r="K6" s="20" t="n">
        <f aca="false">Premissas!K$15*Premissas!K$16</f>
        <v>24.5</v>
      </c>
      <c r="L6" s="20" t="n">
        <f aca="false">Premissas!L$15*Premissas!L$16</f>
        <v>25.5</v>
      </c>
      <c r="M6" s="20" t="n">
        <f aca="false">Premissas!M$15*Premissas!M$16</f>
        <v>24</v>
      </c>
      <c r="N6" s="20" t="n">
        <f aca="false">Premissas!N$15*Premissas!N$16</f>
        <v>17</v>
      </c>
      <c r="O6" s="20" t="n">
        <f aca="false">SUM(C6:N6)</f>
        <v>264</v>
      </c>
    </row>
    <row r="7" customFormat="false" ht="15" hidden="false" customHeight="false" outlineLevel="0" collapsed="false">
      <c r="A7" s="18" t="s">
        <v>92</v>
      </c>
      <c r="B7" s="19" t="s">
        <v>90</v>
      </c>
      <c r="C7" s="20" t="n">
        <f aca="false">C5*Premissas!C$17</f>
        <v>9.24</v>
      </c>
      <c r="D7" s="20" t="n">
        <f aca="false">D5*Premissas!D$17</f>
        <v>9.45472</v>
      </c>
      <c r="E7" s="20" t="n">
        <f aca="false">E5*Premissas!E$17</f>
        <v>9.69771616</v>
      </c>
      <c r="F7" s="20" t="n">
        <f aca="false">F5*Premissas!F$17</f>
        <v>10.00136640448</v>
      </c>
      <c r="G7" s="20" t="n">
        <f aca="false">G5*Premissas!G$17</f>
        <v>10.2763363435814</v>
      </c>
      <c r="H7" s="20" t="n">
        <f aca="false">H5*Premissas!H$17</f>
        <v>10.5672569440226</v>
      </c>
      <c r="I7" s="20" t="n">
        <f aca="false">I5*Premissas!I$17</f>
        <v>10.8077772912542</v>
      </c>
      <c r="J7" s="20" t="n">
        <f aca="false">J5*Premissas!J$17</f>
        <v>11.0100061908466</v>
      </c>
      <c r="K7" s="20" t="n">
        <f aca="false">K5*Premissas!K$17</f>
        <v>11.2627860546479</v>
      </c>
      <c r="L7" s="20" t="n">
        <f aca="false">L5*Premissas!L$17</f>
        <v>11.5540047614457</v>
      </c>
      <c r="M7" s="20" t="n">
        <f aca="false">M5*Premissas!M$17</f>
        <v>11.8608166566939</v>
      </c>
      <c r="N7" s="20" t="n">
        <f aca="false">N5*Premissas!N$17</f>
        <v>12.1278786902466</v>
      </c>
      <c r="O7" s="20" t="n">
        <f aca="false">SUM(C7:N7)</f>
        <v>127.860665497219</v>
      </c>
    </row>
    <row r="8" customFormat="false" ht="15" hidden="false" customHeight="false" outlineLevel="0" collapsed="false">
      <c r="A8" s="21" t="s">
        <v>93</v>
      </c>
      <c r="B8" s="22" t="s">
        <v>90</v>
      </c>
      <c r="C8" s="23" t="n">
        <f aca="false">C5+C6-C7</f>
        <v>429.76</v>
      </c>
      <c r="D8" s="23" t="n">
        <f aca="false">D5+D6-D7</f>
        <v>440.80528</v>
      </c>
      <c r="E8" s="23" t="n">
        <f aca="false">E5+E6-E7</f>
        <v>454.60756384</v>
      </c>
      <c r="F8" s="23" t="n">
        <f aca="false">F5+F6-F7</f>
        <v>467.10619743552</v>
      </c>
      <c r="G8" s="23" t="n">
        <f aca="false">G5+G6-G7</f>
        <v>480.329861091939</v>
      </c>
      <c r="H8" s="23" t="n">
        <f aca="false">H5+H6-H7</f>
        <v>491.262604147916</v>
      </c>
      <c r="I8" s="23" t="n">
        <f aca="false">I5+I6-I7</f>
        <v>500.454826856662</v>
      </c>
      <c r="J8" s="23" t="n">
        <f aca="false">J5+J6-J7</f>
        <v>511.944820665815</v>
      </c>
      <c r="K8" s="23" t="n">
        <f aca="false">K5+K6-K7</f>
        <v>525.182034611167</v>
      </c>
      <c r="L8" s="23" t="n">
        <f aca="false">L5+L6-L7</f>
        <v>539.128029849722</v>
      </c>
      <c r="M8" s="23" t="n">
        <f aca="false">M5+M6-M7</f>
        <v>551.267213193028</v>
      </c>
      <c r="N8" s="23" t="n">
        <f aca="false">N5+N6-N7</f>
        <v>556.139334502781</v>
      </c>
      <c r="O8" s="23" t="n">
        <f aca="false">N8</f>
        <v>556.139334502781</v>
      </c>
    </row>
    <row r="9" customFormat="false" ht="15" hidden="false" customHeight="false" outlineLevel="0" collapsed="false">
      <c r="A9" s="18" t="s">
        <v>71</v>
      </c>
      <c r="B9" s="19" t="s">
        <v>94</v>
      </c>
      <c r="C9" s="24" t="n">
        <f aca="false">Premissas!C$18</f>
        <v>1450</v>
      </c>
      <c r="D9" s="24" t="n">
        <f aca="false">Premissas!D$18</f>
        <v>1450</v>
      </c>
      <c r="E9" s="24" t="n">
        <f aca="false">Premissas!E$18</f>
        <v>1450</v>
      </c>
      <c r="F9" s="24" t="n">
        <f aca="false">Premissas!F$18</f>
        <v>1450</v>
      </c>
      <c r="G9" s="24" t="n">
        <f aca="false">Premissas!G$18</f>
        <v>1450</v>
      </c>
      <c r="H9" s="24" t="n">
        <f aca="false">Premissas!H$18</f>
        <v>1450</v>
      </c>
      <c r="I9" s="24" t="n">
        <f aca="false">Premissas!I$18</f>
        <v>1450</v>
      </c>
      <c r="J9" s="24" t="n">
        <f aca="false">Premissas!J$18</f>
        <v>1450</v>
      </c>
      <c r="K9" s="24" t="n">
        <f aca="false">Premissas!K$18</f>
        <v>1450</v>
      </c>
      <c r="L9" s="24" t="n">
        <f aca="false">Premissas!L$18</f>
        <v>1450</v>
      </c>
      <c r="M9" s="24" t="n">
        <f aca="false">Premissas!M$18</f>
        <v>1450</v>
      </c>
      <c r="N9" s="24" t="n">
        <f aca="false">Premissas!N$18</f>
        <v>1450</v>
      </c>
      <c r="O9" s="24" t="n">
        <f aca="false">IFERROR(O10/SUM(C8:N8),0)</f>
        <v>1450</v>
      </c>
    </row>
    <row r="10" customFormat="false" ht="15" hidden="false" customHeight="false" outlineLevel="0" collapsed="false">
      <c r="A10" s="21" t="s">
        <v>95</v>
      </c>
      <c r="B10" s="22" t="s">
        <v>94</v>
      </c>
      <c r="C10" s="25" t="n">
        <f aca="false">C8*C9</f>
        <v>623152</v>
      </c>
      <c r="D10" s="25" t="n">
        <f aca="false">D8*D9</f>
        <v>639167.656</v>
      </c>
      <c r="E10" s="25" t="n">
        <f aca="false">E8*E9</f>
        <v>659180.967568</v>
      </c>
      <c r="F10" s="25" t="n">
        <f aca="false">F8*F9</f>
        <v>677303.986281504</v>
      </c>
      <c r="G10" s="25" t="n">
        <f aca="false">G8*G9</f>
        <v>696478.298583311</v>
      </c>
      <c r="H10" s="25" t="n">
        <f aca="false">H8*H9</f>
        <v>712330.776014478</v>
      </c>
      <c r="I10" s="25" t="n">
        <f aca="false">I8*I9</f>
        <v>725659.49894216</v>
      </c>
      <c r="J10" s="25" t="n">
        <f aca="false">J8*J9</f>
        <v>742319.989965432</v>
      </c>
      <c r="K10" s="25" t="n">
        <f aca="false">K8*K9</f>
        <v>761513.950186193</v>
      </c>
      <c r="L10" s="25" t="n">
        <f aca="false">L8*L9</f>
        <v>781735.643282097</v>
      </c>
      <c r="M10" s="25" t="n">
        <f aca="false">M8*M9</f>
        <v>799337.459129891</v>
      </c>
      <c r="N10" s="25" t="n">
        <f aca="false">N8*N9</f>
        <v>806402.035029033</v>
      </c>
      <c r="O10" s="25" t="n">
        <f aca="false">SUM(C10:N10)</f>
        <v>8624582.2609821</v>
      </c>
    </row>
    <row r="11" customFormat="false" ht="15" hidden="false" customHeight="false" outlineLevel="0" collapsed="false">
      <c r="A11" s="18" t="s">
        <v>96</v>
      </c>
      <c r="B11" s="19" t="s">
        <v>94</v>
      </c>
      <c r="C11" s="24" t="n">
        <f aca="false">C10*Premissas!$B$6</f>
        <v>68546.72</v>
      </c>
      <c r="D11" s="24" t="n">
        <f aca="false">D10*Premissas!$B$6</f>
        <v>70308.44216</v>
      </c>
      <c r="E11" s="24" t="n">
        <f aca="false">E10*Premissas!$B$6</f>
        <v>72509.90643248</v>
      </c>
      <c r="F11" s="24" t="n">
        <f aca="false">F10*Premissas!$B$6</f>
        <v>74503.4384909655</v>
      </c>
      <c r="G11" s="24" t="n">
        <f aca="false">G10*Premissas!$B$6</f>
        <v>76612.6128441642</v>
      </c>
      <c r="H11" s="24" t="n">
        <f aca="false">H10*Premissas!$B$6</f>
        <v>78356.3853615926</v>
      </c>
      <c r="I11" s="24" t="n">
        <f aca="false">I10*Premissas!$B$6</f>
        <v>79822.5448836376</v>
      </c>
      <c r="J11" s="24" t="n">
        <f aca="false">J10*Premissas!$B$6</f>
        <v>81655.1988961975</v>
      </c>
      <c r="K11" s="24" t="n">
        <f aca="false">K10*Premissas!$B$6</f>
        <v>83766.5345204812</v>
      </c>
      <c r="L11" s="24" t="n">
        <f aca="false">L10*Premissas!$B$6</f>
        <v>85990.9207610306</v>
      </c>
      <c r="M11" s="24" t="n">
        <f aca="false">M10*Premissas!$B$6</f>
        <v>87927.120504288</v>
      </c>
      <c r="N11" s="24" t="n">
        <f aca="false">N10*Premissas!$B$6</f>
        <v>88704.2238531936</v>
      </c>
      <c r="O11" s="24" t="n">
        <f aca="false">SUM(C11:N11)</f>
        <v>948704.048708031</v>
      </c>
    </row>
    <row r="12" customFormat="false" ht="15" hidden="false" customHeight="false" outlineLevel="0" collapsed="false">
      <c r="A12" s="21" t="s">
        <v>97</v>
      </c>
      <c r="B12" s="22" t="s">
        <v>94</v>
      </c>
      <c r="C12" s="25" t="n">
        <f aca="false">C10-C11</f>
        <v>554605.28</v>
      </c>
      <c r="D12" s="25" t="n">
        <f aca="false">D10-D11</f>
        <v>568859.21384</v>
      </c>
      <c r="E12" s="25" t="n">
        <f aca="false">E10-E11</f>
        <v>586671.06113552</v>
      </c>
      <c r="F12" s="25" t="n">
        <f aca="false">F10-F11</f>
        <v>602800.547790539</v>
      </c>
      <c r="G12" s="25" t="n">
        <f aca="false">G10-G11</f>
        <v>619865.685739147</v>
      </c>
      <c r="H12" s="25" t="n">
        <f aca="false">H10-H11</f>
        <v>633974.390652886</v>
      </c>
      <c r="I12" s="25" t="n">
        <f aca="false">I10-I11</f>
        <v>645836.954058522</v>
      </c>
      <c r="J12" s="25" t="n">
        <f aca="false">J10-J11</f>
        <v>660664.791069235</v>
      </c>
      <c r="K12" s="25" t="n">
        <f aca="false">K10-K11</f>
        <v>677747.415665712</v>
      </c>
      <c r="L12" s="25" t="n">
        <f aca="false">L10-L11</f>
        <v>695744.722521066</v>
      </c>
      <c r="M12" s="25" t="n">
        <f aca="false">M10-M11</f>
        <v>711410.338625603</v>
      </c>
      <c r="N12" s="25" t="n">
        <f aca="false">N10-N11</f>
        <v>717697.811175839</v>
      </c>
      <c r="O12" s="25" t="n">
        <f aca="false">SUM(C12:N12)</f>
        <v>7675878.21227407</v>
      </c>
    </row>
    <row r="14" customFormat="false" ht="15" hidden="false" customHeight="false" outlineLevel="0" collapsed="false">
      <c r="A14" s="8" t="s">
        <v>98</v>
      </c>
    </row>
    <row r="16" customFormat="false" ht="15" hidden="false" customHeight="false" outlineLevel="0" collapsed="false">
      <c r="A16" s="8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&amp;LModelo LeverPro · @alyssonguimaraes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0"/>
    <col collapsed="false" customWidth="true" hidden="false" outlineLevel="0" max="14" min="3" style="0" width="12"/>
    <col collapsed="false" customWidth="true" hidden="false" outlineLevel="0" max="15" min="15" style="0" width="14"/>
  </cols>
  <sheetData>
    <row r="1" customFormat="false" ht="19.7" hidden="false" customHeight="false" outlineLevel="0" collapsed="false">
      <c r="A1" s="1" t="s">
        <v>99</v>
      </c>
    </row>
    <row r="2" customFormat="false" ht="15" hidden="false" customHeight="false" outlineLevel="0" collapsed="false">
      <c r="A2" s="2" t="s">
        <v>100</v>
      </c>
    </row>
    <row r="4" customFormat="false" ht="21.75" hidden="false" customHeight="true" outlineLevel="0" collapsed="false">
      <c r="A4" s="9" t="s">
        <v>87</v>
      </c>
      <c r="B4" s="10" t="s">
        <v>53</v>
      </c>
      <c r="C4" s="10" t="s">
        <v>54</v>
      </c>
      <c r="D4" s="10" t="s">
        <v>55</v>
      </c>
      <c r="E4" s="10" t="s">
        <v>56</v>
      </c>
      <c r="F4" s="10" t="s">
        <v>57</v>
      </c>
      <c r="G4" s="10" t="s">
        <v>58</v>
      </c>
      <c r="H4" s="10" t="s">
        <v>59</v>
      </c>
      <c r="I4" s="10" t="s">
        <v>48</v>
      </c>
      <c r="J4" s="10" t="s">
        <v>60</v>
      </c>
      <c r="K4" s="10" t="s">
        <v>61</v>
      </c>
      <c r="L4" s="10" t="s">
        <v>62</v>
      </c>
      <c r="M4" s="10" t="s">
        <v>63</v>
      </c>
      <c r="N4" s="10" t="s">
        <v>64</v>
      </c>
      <c r="O4" s="10" t="s">
        <v>88</v>
      </c>
    </row>
    <row r="5" customFormat="false" ht="15" hidden="false" customHeight="false" outlineLevel="0" collapsed="false">
      <c r="A5" s="26" t="s">
        <v>101</v>
      </c>
    </row>
    <row r="6" customFormat="false" ht="15" hidden="false" customHeight="false" outlineLevel="0" collapsed="false">
      <c r="A6" s="18" t="s">
        <v>102</v>
      </c>
      <c r="B6" s="19" t="s">
        <v>90</v>
      </c>
      <c r="C6" s="20" t="n">
        <f aca="false">Receita!C8</f>
        <v>429.76</v>
      </c>
      <c r="D6" s="20" t="n">
        <f aca="false">Receita!D8</f>
        <v>440.80528</v>
      </c>
      <c r="E6" s="20" t="n">
        <f aca="false">Receita!E8</f>
        <v>454.60756384</v>
      </c>
      <c r="F6" s="20" t="n">
        <f aca="false">Receita!F8</f>
        <v>467.10619743552</v>
      </c>
      <c r="G6" s="20" t="n">
        <f aca="false">Receita!G8</f>
        <v>480.329861091939</v>
      </c>
      <c r="H6" s="20" t="n">
        <f aca="false">Receita!H8</f>
        <v>491.262604147916</v>
      </c>
      <c r="I6" s="20" t="n">
        <f aca="false">Receita!I8</f>
        <v>500.454826856662</v>
      </c>
      <c r="J6" s="20" t="n">
        <f aca="false">Receita!J8</f>
        <v>511.944820665815</v>
      </c>
      <c r="K6" s="20" t="n">
        <f aca="false">Receita!K8</f>
        <v>525.182034611167</v>
      </c>
      <c r="L6" s="20" t="n">
        <f aca="false">Receita!L8</f>
        <v>539.128029849722</v>
      </c>
      <c r="M6" s="20" t="n">
        <f aca="false">Receita!M8</f>
        <v>551.267213193028</v>
      </c>
      <c r="N6" s="20" t="n">
        <f aca="false">Receita!N8</f>
        <v>556.139334502781</v>
      </c>
      <c r="O6" s="20" t="n">
        <f aca="false">N6</f>
        <v>556.139334502781</v>
      </c>
    </row>
    <row r="7" customFormat="false" ht="15" hidden="false" customHeight="false" outlineLevel="0" collapsed="false">
      <c r="A7" s="18" t="s">
        <v>73</v>
      </c>
      <c r="B7" s="19" t="s">
        <v>94</v>
      </c>
      <c r="C7" s="24" t="n">
        <f aca="false">Premissas!C$19</f>
        <v>260</v>
      </c>
      <c r="D7" s="24" t="n">
        <f aca="false">Premissas!D$19</f>
        <v>260</v>
      </c>
      <c r="E7" s="24" t="n">
        <f aca="false">Premissas!E$19</f>
        <v>260</v>
      </c>
      <c r="F7" s="24" t="n">
        <f aca="false">Premissas!F$19</f>
        <v>260</v>
      </c>
      <c r="G7" s="24" t="n">
        <f aca="false">Premissas!G$19</f>
        <v>260</v>
      </c>
      <c r="H7" s="24" t="n">
        <f aca="false">Premissas!H$19</f>
        <v>260</v>
      </c>
      <c r="I7" s="24" t="n">
        <f aca="false">Premissas!I$19</f>
        <v>260</v>
      </c>
      <c r="J7" s="24" t="n">
        <f aca="false">Premissas!J$19</f>
        <v>260</v>
      </c>
      <c r="K7" s="24" t="n">
        <f aca="false">Premissas!K$19</f>
        <v>260</v>
      </c>
      <c r="L7" s="24" t="n">
        <f aca="false">Premissas!L$19</f>
        <v>260</v>
      </c>
      <c r="M7" s="24" t="n">
        <f aca="false">Premissas!M$19</f>
        <v>260</v>
      </c>
      <c r="N7" s="24" t="n">
        <f aca="false">Premissas!N$19</f>
        <v>260</v>
      </c>
    </row>
    <row r="8" customFormat="false" ht="15" hidden="false" customHeight="false" outlineLevel="0" collapsed="false">
      <c r="A8" s="18" t="s">
        <v>103</v>
      </c>
      <c r="B8" s="19" t="s">
        <v>94</v>
      </c>
      <c r="C8" s="24" t="n">
        <f aca="false">C6*C7</f>
        <v>111737.6</v>
      </c>
      <c r="D8" s="24" t="n">
        <f aca="false">D6*D7</f>
        <v>114609.3728</v>
      </c>
      <c r="E8" s="24" t="n">
        <f aca="false">E6*E7</f>
        <v>118197.9665984</v>
      </c>
      <c r="F8" s="24" t="n">
        <f aca="false">F6*F7</f>
        <v>121447.611333235</v>
      </c>
      <c r="G8" s="24" t="n">
        <f aca="false">G6*G7</f>
        <v>124885.763883904</v>
      </c>
      <c r="H8" s="24" t="n">
        <f aca="false">H6*H7</f>
        <v>127728.277078458</v>
      </c>
      <c r="I8" s="24" t="n">
        <f aca="false">I6*I7</f>
        <v>130118.254982732</v>
      </c>
      <c r="J8" s="24" t="n">
        <f aca="false">J6*J7</f>
        <v>133105.653373112</v>
      </c>
      <c r="K8" s="24" t="n">
        <f aca="false">K6*K7</f>
        <v>136547.328998904</v>
      </c>
      <c r="L8" s="24" t="n">
        <f aca="false">L6*L7</f>
        <v>140173.287760928</v>
      </c>
      <c r="M8" s="24" t="n">
        <f aca="false">M6*M7</f>
        <v>143329.475430187</v>
      </c>
      <c r="N8" s="24" t="n">
        <f aca="false">N6*N7</f>
        <v>144596.226970723</v>
      </c>
      <c r="O8" s="24" t="n">
        <f aca="false">SUM(C8:N8)</f>
        <v>1546476.81921058</v>
      </c>
    </row>
    <row r="9" customFormat="false" ht="15" hidden="false" customHeight="false" outlineLevel="0" collapsed="false">
      <c r="A9" s="18" t="s">
        <v>104</v>
      </c>
      <c r="B9" s="19" t="s">
        <v>94</v>
      </c>
      <c r="C9" s="24" t="n">
        <f aca="false">Receita!C10*Premissas!$B$7</f>
        <v>31157.6</v>
      </c>
      <c r="D9" s="24" t="n">
        <f aca="false">Receita!D10*Premissas!$B$7</f>
        <v>31958.3828</v>
      </c>
      <c r="E9" s="24" t="n">
        <f aca="false">Receita!E10*Premissas!$B$7</f>
        <v>32959.0483784</v>
      </c>
      <c r="F9" s="24" t="n">
        <f aca="false">Receita!F10*Premissas!$B$7</f>
        <v>33865.1993140752</v>
      </c>
      <c r="G9" s="24" t="n">
        <f aca="false">Receita!G10*Premissas!$B$7</f>
        <v>34823.9149291656</v>
      </c>
      <c r="H9" s="24" t="n">
        <f aca="false">Receita!H10*Premissas!$B$7</f>
        <v>35616.5388007239</v>
      </c>
      <c r="I9" s="24" t="n">
        <f aca="false">Receita!I10*Premissas!$B$7</f>
        <v>36282.974947108</v>
      </c>
      <c r="J9" s="24" t="n">
        <f aca="false">Receita!J10*Premissas!$B$7</f>
        <v>37115.9994982716</v>
      </c>
      <c r="K9" s="24" t="n">
        <f aca="false">Receita!K10*Premissas!$B$7</f>
        <v>38075.6975093096</v>
      </c>
      <c r="L9" s="24" t="n">
        <f aca="false">Receita!L10*Premissas!$B$7</f>
        <v>39086.7821641048</v>
      </c>
      <c r="M9" s="24" t="n">
        <f aca="false">Receita!M10*Premissas!$B$7</f>
        <v>39966.8729564945</v>
      </c>
      <c r="N9" s="24" t="n">
        <f aca="false">Receita!N10*Premissas!$B$7</f>
        <v>40320.1017514517</v>
      </c>
      <c r="O9" s="24" t="n">
        <f aca="false">SUM(C9:N9)</f>
        <v>431229.113049105</v>
      </c>
    </row>
    <row r="10" customFormat="false" ht="15" hidden="false" customHeight="false" outlineLevel="0" collapsed="false">
      <c r="A10" s="21" t="s">
        <v>105</v>
      </c>
      <c r="B10" s="22" t="s">
        <v>94</v>
      </c>
      <c r="C10" s="25" t="n">
        <f aca="false">C8+C9</f>
        <v>142895.2</v>
      </c>
      <c r="D10" s="25" t="n">
        <f aca="false">D8+D9</f>
        <v>146567.7556</v>
      </c>
      <c r="E10" s="25" t="n">
        <f aca="false">E8+E9</f>
        <v>151157.0149768</v>
      </c>
      <c r="F10" s="25" t="n">
        <f aca="false">F8+F9</f>
        <v>155312.81064731</v>
      </c>
      <c r="G10" s="25" t="n">
        <f aca="false">G8+G9</f>
        <v>159709.67881307</v>
      </c>
      <c r="H10" s="25" t="n">
        <f aca="false">H8+H9</f>
        <v>163344.815879182</v>
      </c>
      <c r="I10" s="25" t="n">
        <f aca="false">I8+I9</f>
        <v>166401.22992984</v>
      </c>
      <c r="J10" s="25" t="n">
        <f aca="false">J8+J9</f>
        <v>170221.652871384</v>
      </c>
      <c r="K10" s="25" t="n">
        <f aca="false">K8+K9</f>
        <v>174623.026508213</v>
      </c>
      <c r="L10" s="25" t="n">
        <f aca="false">L8+L9</f>
        <v>179260.069925033</v>
      </c>
      <c r="M10" s="25" t="n">
        <f aca="false">M8+M9</f>
        <v>183296.348386682</v>
      </c>
      <c r="N10" s="25" t="n">
        <f aca="false">N8+N9</f>
        <v>184916.328722175</v>
      </c>
      <c r="O10" s="25" t="n">
        <f aca="false">SUM(C10:N10)</f>
        <v>1977705.93225969</v>
      </c>
    </row>
    <row r="11" customFormat="false" ht="15" hidden="false" customHeight="false" outlineLevel="0" collapsed="false">
      <c r="A11" s="26" t="s">
        <v>106</v>
      </c>
    </row>
    <row r="12" customFormat="false" ht="15" hidden="false" customHeight="false" outlineLevel="0" collapsed="false">
      <c r="A12" s="18" t="s">
        <v>74</v>
      </c>
      <c r="B12" s="19" t="s">
        <v>75</v>
      </c>
      <c r="C12" s="27" t="n">
        <f aca="false">Premissas!C$20</f>
        <v>22</v>
      </c>
      <c r="D12" s="27" t="n">
        <f aca="false">Premissas!D$20</f>
        <v>22</v>
      </c>
      <c r="E12" s="27" t="n">
        <f aca="false">Premissas!E$20</f>
        <v>22</v>
      </c>
      <c r="F12" s="27" t="n">
        <f aca="false">Premissas!F$20</f>
        <v>24</v>
      </c>
      <c r="G12" s="27" t="n">
        <f aca="false">Premissas!G$20</f>
        <v>24</v>
      </c>
      <c r="H12" s="27" t="n">
        <f aca="false">Premissas!H$20</f>
        <v>24</v>
      </c>
      <c r="I12" s="27" t="n">
        <f aca="false">Premissas!I$20</f>
        <v>26</v>
      </c>
      <c r="J12" s="27" t="n">
        <f aca="false">Premissas!J$20</f>
        <v>26</v>
      </c>
      <c r="K12" s="27" t="n">
        <f aca="false">Premissas!K$20</f>
        <v>26</v>
      </c>
      <c r="L12" s="27" t="n">
        <f aca="false">Premissas!L$20</f>
        <v>28</v>
      </c>
      <c r="M12" s="27" t="n">
        <f aca="false">Premissas!M$20</f>
        <v>28</v>
      </c>
      <c r="N12" s="27" t="n">
        <f aca="false">Premissas!N$20</f>
        <v>28</v>
      </c>
      <c r="O12" s="27" t="n">
        <f aca="false">N12</f>
        <v>28</v>
      </c>
    </row>
    <row r="13" customFormat="false" ht="15" hidden="false" customHeight="false" outlineLevel="0" collapsed="false">
      <c r="A13" s="18" t="s">
        <v>76</v>
      </c>
      <c r="B13" s="19" t="s">
        <v>94</v>
      </c>
      <c r="C13" s="24" t="n">
        <f aca="false">Premissas!C$21</f>
        <v>6500</v>
      </c>
      <c r="D13" s="24" t="n">
        <f aca="false">Premissas!D$21</f>
        <v>6500</v>
      </c>
      <c r="E13" s="24" t="n">
        <f aca="false">Premissas!E$21</f>
        <v>6500</v>
      </c>
      <c r="F13" s="24" t="n">
        <f aca="false">Premissas!F$21</f>
        <v>6500</v>
      </c>
      <c r="G13" s="24" t="n">
        <f aca="false">Premissas!G$21</f>
        <v>6500</v>
      </c>
      <c r="H13" s="24" t="n">
        <f aca="false">Premissas!H$21</f>
        <v>6500</v>
      </c>
      <c r="I13" s="24" t="n">
        <f aca="false">Premissas!I$21</f>
        <v>6500</v>
      </c>
      <c r="J13" s="24" t="n">
        <f aca="false">Premissas!J$21</f>
        <v>6500</v>
      </c>
      <c r="K13" s="24" t="n">
        <f aca="false">Premissas!K$21</f>
        <v>6500</v>
      </c>
      <c r="L13" s="24" t="n">
        <f aca="false">Premissas!L$21</f>
        <v>6500</v>
      </c>
      <c r="M13" s="24" t="n">
        <f aca="false">Premissas!M$21</f>
        <v>6500</v>
      </c>
      <c r="N13" s="24" t="n">
        <f aca="false">Premissas!N$21</f>
        <v>6500</v>
      </c>
    </row>
    <row r="14" customFormat="false" ht="15" hidden="false" customHeight="false" outlineLevel="0" collapsed="false">
      <c r="A14" s="21" t="s">
        <v>107</v>
      </c>
      <c r="B14" s="22" t="s">
        <v>94</v>
      </c>
      <c r="C14" s="25" t="n">
        <f aca="false">C12*C13*(1+Premissas!$B$8)</f>
        <v>243100</v>
      </c>
      <c r="D14" s="25" t="n">
        <f aca="false">D12*D13*(1+Premissas!$B$8)</f>
        <v>243100</v>
      </c>
      <c r="E14" s="25" t="n">
        <f aca="false">E12*E13*(1+Premissas!$B$8)</f>
        <v>243100</v>
      </c>
      <c r="F14" s="25" t="n">
        <f aca="false">F12*F13*(1+Premissas!$B$8)</f>
        <v>265200</v>
      </c>
      <c r="G14" s="25" t="n">
        <f aca="false">G12*G13*(1+Premissas!$B$8)</f>
        <v>265200</v>
      </c>
      <c r="H14" s="25" t="n">
        <f aca="false">H12*H13*(1+Premissas!$B$8)</f>
        <v>265200</v>
      </c>
      <c r="I14" s="25" t="n">
        <f aca="false">I12*I13*(1+Premissas!$B$8)</f>
        <v>287300</v>
      </c>
      <c r="J14" s="25" t="n">
        <f aca="false">J12*J13*(1+Premissas!$B$8)</f>
        <v>287300</v>
      </c>
      <c r="K14" s="25" t="n">
        <f aca="false">K12*K13*(1+Premissas!$B$8)</f>
        <v>287300</v>
      </c>
      <c r="L14" s="25" t="n">
        <f aca="false">L12*L13*(1+Premissas!$B$8)</f>
        <v>309400</v>
      </c>
      <c r="M14" s="25" t="n">
        <f aca="false">M12*M13*(1+Premissas!$B$8)</f>
        <v>309400</v>
      </c>
      <c r="N14" s="25" t="n">
        <f aca="false">N12*N13*(1+Premissas!$B$8)</f>
        <v>309400</v>
      </c>
      <c r="O14" s="25" t="n">
        <f aca="false">SUM(C14:N14)</f>
        <v>3315000</v>
      </c>
    </row>
    <row r="15" customFormat="false" ht="15" hidden="false" customHeight="false" outlineLevel="0" collapsed="false">
      <c r="A15" s="26" t="s">
        <v>78</v>
      </c>
    </row>
    <row r="16" customFormat="false" ht="15" hidden="false" customHeight="false" outlineLevel="0" collapsed="false">
      <c r="A16" s="18" t="s">
        <v>108</v>
      </c>
      <c r="B16" s="19" t="s">
        <v>109</v>
      </c>
      <c r="C16" s="28" t="n">
        <f aca="false">IF(1&gt;=IFERROR(MATCH(Premissas!$B$11,Premissas!$C$14:$N$14,0),13),1+Premissas!$B$10,1)</f>
        <v>1</v>
      </c>
      <c r="D16" s="28" t="n">
        <f aca="false">IF(2&gt;=IFERROR(MATCH(Premissas!$B$11,Premissas!$C$14:$N$14,0),13),1+Premissas!$B$10,1)</f>
        <v>1</v>
      </c>
      <c r="E16" s="28" t="n">
        <f aca="false">IF(3&gt;=IFERROR(MATCH(Premissas!$B$11,Premissas!$C$14:$N$14,0),13),1+Premissas!$B$10,1)</f>
        <v>1</v>
      </c>
      <c r="F16" s="28" t="n">
        <f aca="false">IF(4&gt;=IFERROR(MATCH(Premissas!$B$11,Premissas!$C$14:$N$14,0),13),1+Premissas!$B$10,1)</f>
        <v>1</v>
      </c>
      <c r="G16" s="28" t="n">
        <f aca="false">IF(5&gt;=IFERROR(MATCH(Premissas!$B$11,Premissas!$C$14:$N$14,0),13),1+Premissas!$B$10,1)</f>
        <v>1</v>
      </c>
      <c r="H16" s="28" t="n">
        <f aca="false">IF(6&gt;=IFERROR(MATCH(Premissas!$B$11,Premissas!$C$14:$N$14,0),13),1+Premissas!$B$10,1)</f>
        <v>1</v>
      </c>
      <c r="I16" s="28" t="n">
        <f aca="false">IF(7&gt;=IFERROR(MATCH(Premissas!$B$11,Premissas!$C$14:$N$14,0),13),1+Premissas!$B$10,1)</f>
        <v>1.05</v>
      </c>
      <c r="J16" s="28" t="n">
        <f aca="false">IF(8&gt;=IFERROR(MATCH(Premissas!$B$11,Premissas!$C$14:$N$14,0),13),1+Premissas!$B$10,1)</f>
        <v>1.05</v>
      </c>
      <c r="K16" s="28" t="n">
        <f aca="false">IF(9&gt;=IFERROR(MATCH(Premissas!$B$11,Premissas!$C$14:$N$14,0),13),1+Premissas!$B$10,1)</f>
        <v>1.05</v>
      </c>
      <c r="L16" s="28" t="n">
        <f aca="false">IF(10&gt;=IFERROR(MATCH(Premissas!$B$11,Premissas!$C$14:$N$14,0),13),1+Premissas!$B$10,1)</f>
        <v>1.05</v>
      </c>
      <c r="M16" s="28" t="n">
        <f aca="false">IF(11&gt;=IFERROR(MATCH(Premissas!$B$11,Premissas!$C$14:$N$14,0),13),1+Premissas!$B$10,1)</f>
        <v>1.05</v>
      </c>
      <c r="N16" s="28" t="n">
        <f aca="false">IF(12&gt;=IFERROR(MATCH(Premissas!$B$11,Premissas!$C$14:$N$14,0),13),1+Premissas!$B$10,1)</f>
        <v>1.05</v>
      </c>
    </row>
    <row r="17" customFormat="false" ht="15" hidden="false" customHeight="false" outlineLevel="0" collapsed="false">
      <c r="A17" s="18" t="s">
        <v>81</v>
      </c>
      <c r="B17" s="19" t="s">
        <v>94</v>
      </c>
      <c r="C17" s="24" t="n">
        <f aca="false">Premissas!$B$24*C16</f>
        <v>32000</v>
      </c>
      <c r="D17" s="24" t="n">
        <f aca="false">Premissas!$B$24*D16</f>
        <v>32000</v>
      </c>
      <c r="E17" s="24" t="n">
        <f aca="false">Premissas!$B$24*E16</f>
        <v>32000</v>
      </c>
      <c r="F17" s="24" t="n">
        <f aca="false">Premissas!$B$24*F16</f>
        <v>32000</v>
      </c>
      <c r="G17" s="24" t="n">
        <f aca="false">Premissas!$B$24*G16</f>
        <v>32000</v>
      </c>
      <c r="H17" s="24" t="n">
        <f aca="false">Premissas!$B$24*H16</f>
        <v>32000</v>
      </c>
      <c r="I17" s="24" t="n">
        <f aca="false">Premissas!$B$24*I16</f>
        <v>33600</v>
      </c>
      <c r="J17" s="24" t="n">
        <f aca="false">Premissas!$B$24*J16</f>
        <v>33600</v>
      </c>
      <c r="K17" s="24" t="n">
        <f aca="false">Premissas!$B$24*K16</f>
        <v>33600</v>
      </c>
      <c r="L17" s="24" t="n">
        <f aca="false">Premissas!$B$24*L16</f>
        <v>33600</v>
      </c>
      <c r="M17" s="24" t="n">
        <f aca="false">Premissas!$B$24*M16</f>
        <v>33600</v>
      </c>
      <c r="N17" s="24" t="n">
        <f aca="false">Premissas!$B$24*N16</f>
        <v>33600</v>
      </c>
      <c r="O17" s="24" t="n">
        <f aca="false">SUM(C17:N17)</f>
        <v>393600</v>
      </c>
    </row>
    <row r="18" customFormat="false" ht="15" hidden="false" customHeight="false" outlineLevel="0" collapsed="false">
      <c r="A18" s="18" t="s">
        <v>82</v>
      </c>
      <c r="B18" s="19" t="s">
        <v>94</v>
      </c>
      <c r="C18" s="24" t="n">
        <f aca="false">Premissas!$B$25*C16</f>
        <v>28000</v>
      </c>
      <c r="D18" s="24" t="n">
        <f aca="false">Premissas!$B$25*D16</f>
        <v>28000</v>
      </c>
      <c r="E18" s="24" t="n">
        <f aca="false">Premissas!$B$25*E16</f>
        <v>28000</v>
      </c>
      <c r="F18" s="24" t="n">
        <f aca="false">Premissas!$B$25*F16</f>
        <v>28000</v>
      </c>
      <c r="G18" s="24" t="n">
        <f aca="false">Premissas!$B$25*G16</f>
        <v>28000</v>
      </c>
      <c r="H18" s="24" t="n">
        <f aca="false">Premissas!$B$25*H16</f>
        <v>28000</v>
      </c>
      <c r="I18" s="24" t="n">
        <f aca="false">Premissas!$B$25*I16</f>
        <v>29400</v>
      </c>
      <c r="J18" s="24" t="n">
        <f aca="false">Premissas!$B$25*J16</f>
        <v>29400</v>
      </c>
      <c r="K18" s="24" t="n">
        <f aca="false">Premissas!$B$25*K16</f>
        <v>29400</v>
      </c>
      <c r="L18" s="24" t="n">
        <f aca="false">Premissas!$B$25*L16</f>
        <v>29400</v>
      </c>
      <c r="M18" s="24" t="n">
        <f aca="false">Premissas!$B$25*M16</f>
        <v>29400</v>
      </c>
      <c r="N18" s="24" t="n">
        <f aca="false">Premissas!$B$25*N16</f>
        <v>29400</v>
      </c>
      <c r="O18" s="24" t="n">
        <f aca="false">SUM(C18:N18)</f>
        <v>344400</v>
      </c>
    </row>
    <row r="19" customFormat="false" ht="15" hidden="false" customHeight="false" outlineLevel="0" collapsed="false">
      <c r="A19" s="18" t="s">
        <v>83</v>
      </c>
      <c r="B19" s="19" t="s">
        <v>94</v>
      </c>
      <c r="C19" s="24" t="n">
        <f aca="false">Premissas!$B$26*C16</f>
        <v>45000</v>
      </c>
      <c r="D19" s="24" t="n">
        <f aca="false">Premissas!$B$26*D16</f>
        <v>45000</v>
      </c>
      <c r="E19" s="24" t="n">
        <f aca="false">Premissas!$B$26*E16</f>
        <v>45000</v>
      </c>
      <c r="F19" s="24" t="n">
        <f aca="false">Premissas!$B$26*F16</f>
        <v>45000</v>
      </c>
      <c r="G19" s="24" t="n">
        <f aca="false">Premissas!$B$26*G16</f>
        <v>45000</v>
      </c>
      <c r="H19" s="24" t="n">
        <f aca="false">Premissas!$B$26*H16</f>
        <v>45000</v>
      </c>
      <c r="I19" s="24" t="n">
        <f aca="false">Premissas!$B$26*I16</f>
        <v>47250</v>
      </c>
      <c r="J19" s="24" t="n">
        <f aca="false">Premissas!$B$26*J16</f>
        <v>47250</v>
      </c>
      <c r="K19" s="24" t="n">
        <f aca="false">Premissas!$B$26*K16</f>
        <v>47250</v>
      </c>
      <c r="L19" s="24" t="n">
        <f aca="false">Premissas!$B$26*L16</f>
        <v>47250</v>
      </c>
      <c r="M19" s="24" t="n">
        <f aca="false">Premissas!$B$26*M16</f>
        <v>47250</v>
      </c>
      <c r="N19" s="24" t="n">
        <f aca="false">Premissas!$B$26*N16</f>
        <v>47250</v>
      </c>
      <c r="O19" s="24" t="n">
        <f aca="false">SUM(C19:N19)</f>
        <v>553500</v>
      </c>
    </row>
    <row r="20" customFormat="false" ht="15" hidden="false" customHeight="false" outlineLevel="0" collapsed="false">
      <c r="A20" s="18" t="s">
        <v>84</v>
      </c>
      <c r="B20" s="19" t="s">
        <v>94</v>
      </c>
      <c r="C20" s="24" t="n">
        <f aca="false">Premissas!$B$27*C16</f>
        <v>38000</v>
      </c>
      <c r="D20" s="24" t="n">
        <f aca="false">Premissas!$B$27*D16</f>
        <v>38000</v>
      </c>
      <c r="E20" s="24" t="n">
        <f aca="false">Premissas!$B$27*E16</f>
        <v>38000</v>
      </c>
      <c r="F20" s="24" t="n">
        <f aca="false">Premissas!$B$27*F16</f>
        <v>38000</v>
      </c>
      <c r="G20" s="24" t="n">
        <f aca="false">Premissas!$B$27*G16</f>
        <v>38000</v>
      </c>
      <c r="H20" s="24" t="n">
        <f aca="false">Premissas!$B$27*H16</f>
        <v>38000</v>
      </c>
      <c r="I20" s="24" t="n">
        <f aca="false">Premissas!$B$27*I16</f>
        <v>39900</v>
      </c>
      <c r="J20" s="24" t="n">
        <f aca="false">Premissas!$B$27*J16</f>
        <v>39900</v>
      </c>
      <c r="K20" s="24" t="n">
        <f aca="false">Premissas!$B$27*K16</f>
        <v>39900</v>
      </c>
      <c r="L20" s="24" t="n">
        <f aca="false">Premissas!$B$27*L16</f>
        <v>39900</v>
      </c>
      <c r="M20" s="24" t="n">
        <f aca="false">Premissas!$B$27*M16</f>
        <v>39900</v>
      </c>
      <c r="N20" s="24" t="n">
        <f aca="false">Premissas!$B$27*N16</f>
        <v>39900</v>
      </c>
      <c r="O20" s="24" t="n">
        <f aca="false">SUM(C20:N20)</f>
        <v>467400</v>
      </c>
    </row>
    <row r="21" customFormat="false" ht="15" hidden="false" customHeight="false" outlineLevel="0" collapsed="false">
      <c r="A21" s="21" t="s">
        <v>110</v>
      </c>
      <c r="B21" s="22" t="s">
        <v>94</v>
      </c>
      <c r="C21" s="25" t="n">
        <f aca="false">SUM(C17:C20)</f>
        <v>143000</v>
      </c>
      <c r="D21" s="25" t="n">
        <f aca="false">SUM(D17:D20)</f>
        <v>143000</v>
      </c>
      <c r="E21" s="25" t="n">
        <f aca="false">SUM(E17:E20)</f>
        <v>143000</v>
      </c>
      <c r="F21" s="25" t="n">
        <f aca="false">SUM(F17:F20)</f>
        <v>143000</v>
      </c>
      <c r="G21" s="25" t="n">
        <f aca="false">SUM(G17:G20)</f>
        <v>143000</v>
      </c>
      <c r="H21" s="25" t="n">
        <f aca="false">SUM(H17:H20)</f>
        <v>143000</v>
      </c>
      <c r="I21" s="25" t="n">
        <f aca="false">SUM(I17:I20)</f>
        <v>150150</v>
      </c>
      <c r="J21" s="25" t="n">
        <f aca="false">SUM(J17:J20)</f>
        <v>150150</v>
      </c>
      <c r="K21" s="25" t="n">
        <f aca="false">SUM(K17:K20)</f>
        <v>150150</v>
      </c>
      <c r="L21" s="25" t="n">
        <f aca="false">SUM(L17:L20)</f>
        <v>150150</v>
      </c>
      <c r="M21" s="25" t="n">
        <f aca="false">SUM(M17:M20)</f>
        <v>150150</v>
      </c>
      <c r="N21" s="25" t="n">
        <f aca="false">SUM(N17:N20)</f>
        <v>150150</v>
      </c>
      <c r="O21" s="25" t="n">
        <f aca="false">SUM(C21:N21)</f>
        <v>1758900</v>
      </c>
    </row>
    <row r="22" customFormat="false" ht="15" hidden="false" customHeight="false" outlineLevel="0" collapsed="false">
      <c r="A22" s="18" t="s">
        <v>111</v>
      </c>
      <c r="B22" s="19" t="s">
        <v>94</v>
      </c>
      <c r="C22" s="24" t="n">
        <f aca="false">Premissas!$B$12</f>
        <v>15000</v>
      </c>
      <c r="D22" s="24" t="n">
        <f aca="false">Premissas!$B$12</f>
        <v>15000</v>
      </c>
      <c r="E22" s="24" t="n">
        <f aca="false">Premissas!$B$12</f>
        <v>15000</v>
      </c>
      <c r="F22" s="24" t="n">
        <f aca="false">Premissas!$B$12</f>
        <v>15000</v>
      </c>
      <c r="G22" s="24" t="n">
        <f aca="false">Premissas!$B$12</f>
        <v>15000</v>
      </c>
      <c r="H22" s="24" t="n">
        <f aca="false">Premissas!$B$12</f>
        <v>15000</v>
      </c>
      <c r="I22" s="24" t="n">
        <f aca="false">Premissas!$B$12</f>
        <v>15000</v>
      </c>
      <c r="J22" s="24" t="n">
        <f aca="false">Premissas!$B$12</f>
        <v>15000</v>
      </c>
      <c r="K22" s="24" t="n">
        <f aca="false">Premissas!$B$12</f>
        <v>15000</v>
      </c>
      <c r="L22" s="24" t="n">
        <f aca="false">Premissas!$B$12</f>
        <v>15000</v>
      </c>
      <c r="M22" s="24" t="n">
        <f aca="false">Premissas!$B$12</f>
        <v>15000</v>
      </c>
      <c r="N22" s="24" t="n">
        <f aca="false">Premissas!$B$12</f>
        <v>15000</v>
      </c>
      <c r="O22" s="24" t="n">
        <f aca="false">SUM(C22:N22)</f>
        <v>180000</v>
      </c>
    </row>
    <row r="23" customFormat="false" ht="15" hidden="false" customHeight="false" outlineLevel="0" collapsed="false">
      <c r="A23" s="29" t="s">
        <v>112</v>
      </c>
      <c r="B23" s="30" t="s">
        <v>94</v>
      </c>
      <c r="C23" s="31" t="n">
        <f aca="false">C10+C14+C21+C22</f>
        <v>543995.2</v>
      </c>
      <c r="D23" s="31" t="n">
        <f aca="false">D10+D14+D21+D22</f>
        <v>547667.7556</v>
      </c>
      <c r="E23" s="31" t="n">
        <f aca="false">E10+E14+E21+E22</f>
        <v>552257.0149768</v>
      </c>
      <c r="F23" s="31" t="n">
        <f aca="false">F10+F14+F21+F22</f>
        <v>578512.810647311</v>
      </c>
      <c r="G23" s="31" t="n">
        <f aca="false">G10+G14+G21+G22</f>
        <v>582909.67881307</v>
      </c>
      <c r="H23" s="31" t="n">
        <f aca="false">H10+H14+H21+H22</f>
        <v>586544.815879182</v>
      </c>
      <c r="I23" s="31" t="n">
        <f aca="false">I10+I14+I21+I22</f>
        <v>618851.22992984</v>
      </c>
      <c r="J23" s="31" t="n">
        <f aca="false">J10+J14+J21+J22</f>
        <v>622671.652871384</v>
      </c>
      <c r="K23" s="31" t="n">
        <f aca="false">K10+K14+K21+K22</f>
        <v>627073.026508213</v>
      </c>
      <c r="L23" s="31" t="n">
        <f aca="false">L10+L14+L21+L22</f>
        <v>653810.069925033</v>
      </c>
      <c r="M23" s="31" t="n">
        <f aca="false">M10+M14+M21+M22</f>
        <v>657846.348386682</v>
      </c>
      <c r="N23" s="31" t="n">
        <f aca="false">N10+N14+N21+N22</f>
        <v>659466.328722175</v>
      </c>
      <c r="O23" s="31" t="n">
        <f aca="false">SUM(C23:N23)</f>
        <v>7231605.93225969</v>
      </c>
    </row>
    <row r="26" customFormat="false" ht="15" hidden="false" customHeight="false" outlineLevel="0" collapsed="false">
      <c r="A26" s="8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&amp;LModelo LeverPro · @alyssonguimaraes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2"/>
    <col collapsed="false" customWidth="true" hidden="false" outlineLevel="0" max="14" min="14" style="0" width="14"/>
    <col collapsed="false" customWidth="true" hidden="false" outlineLevel="0" max="15" min="15" style="0" width="8.5"/>
  </cols>
  <sheetData>
    <row r="1" customFormat="false" ht="19.7" hidden="false" customHeight="false" outlineLevel="0" collapsed="false">
      <c r="A1" s="1" t="s">
        <v>113</v>
      </c>
    </row>
    <row r="2" customFormat="false" ht="15" hidden="false" customHeight="false" outlineLevel="0" collapsed="false">
      <c r="A2" s="2" t="s">
        <v>114</v>
      </c>
    </row>
    <row r="4" customFormat="false" ht="21.75" hidden="false" customHeight="true" outlineLevel="0" collapsed="false">
      <c r="A4" s="9" t="s">
        <v>87</v>
      </c>
      <c r="B4" s="10" t="s">
        <v>54</v>
      </c>
      <c r="C4" s="10" t="s">
        <v>55</v>
      </c>
      <c r="D4" s="10" t="s">
        <v>56</v>
      </c>
      <c r="E4" s="10" t="s">
        <v>57</v>
      </c>
      <c r="F4" s="10" t="s">
        <v>58</v>
      </c>
      <c r="G4" s="10" t="s">
        <v>59</v>
      </c>
      <c r="H4" s="10" t="s">
        <v>48</v>
      </c>
      <c r="I4" s="10" t="s">
        <v>60</v>
      </c>
      <c r="J4" s="10" t="s">
        <v>61</v>
      </c>
      <c r="K4" s="10" t="s">
        <v>62</v>
      </c>
      <c r="L4" s="10" t="s">
        <v>63</v>
      </c>
      <c r="M4" s="10" t="s">
        <v>64</v>
      </c>
      <c r="N4" s="10" t="s">
        <v>88</v>
      </c>
      <c r="O4" s="10" t="s">
        <v>115</v>
      </c>
    </row>
    <row r="5" customFormat="false" ht="15" hidden="false" customHeight="false" outlineLevel="0" collapsed="false">
      <c r="A5" s="18" t="s">
        <v>95</v>
      </c>
      <c r="B5" s="24" t="n">
        <f aca="false">Receita!C10</f>
        <v>623152</v>
      </c>
      <c r="C5" s="24" t="n">
        <f aca="false">Receita!D10</f>
        <v>639167.656</v>
      </c>
      <c r="D5" s="24" t="n">
        <f aca="false">Receita!E10</f>
        <v>659180.967568</v>
      </c>
      <c r="E5" s="24" t="n">
        <f aca="false">Receita!F10</f>
        <v>677303.986281504</v>
      </c>
      <c r="F5" s="24" t="n">
        <f aca="false">Receita!G10</f>
        <v>696478.298583311</v>
      </c>
      <c r="G5" s="24" t="n">
        <f aca="false">Receita!H10</f>
        <v>712330.776014478</v>
      </c>
      <c r="H5" s="24" t="n">
        <f aca="false">Receita!I10</f>
        <v>725659.49894216</v>
      </c>
      <c r="I5" s="24" t="n">
        <f aca="false">Receita!J10</f>
        <v>742319.989965432</v>
      </c>
      <c r="J5" s="24" t="n">
        <f aca="false">Receita!K10</f>
        <v>761513.950186193</v>
      </c>
      <c r="K5" s="24" t="n">
        <f aca="false">Receita!L10</f>
        <v>781735.643282097</v>
      </c>
      <c r="L5" s="24" t="n">
        <f aca="false">Receita!M10</f>
        <v>799337.459129891</v>
      </c>
      <c r="M5" s="24" t="n">
        <f aca="false">Receita!N10</f>
        <v>806402.035029033</v>
      </c>
      <c r="N5" s="24" t="n">
        <f aca="false">SUM(B5:M5)</f>
        <v>8624582.2609821</v>
      </c>
      <c r="O5" s="32" t="n">
        <f aca="false">IFERROR(N5/$N$7,0)</f>
        <v>1.12359550561798</v>
      </c>
    </row>
    <row r="6" customFormat="false" ht="15" hidden="false" customHeight="false" outlineLevel="0" collapsed="false">
      <c r="A6" s="18" t="s">
        <v>96</v>
      </c>
      <c r="B6" s="24" t="n">
        <f aca="false">-Receita!C11</f>
        <v>-68546.72</v>
      </c>
      <c r="C6" s="24" t="n">
        <f aca="false">-Receita!D11</f>
        <v>-70308.44216</v>
      </c>
      <c r="D6" s="24" t="n">
        <f aca="false">-Receita!E11</f>
        <v>-72509.90643248</v>
      </c>
      <c r="E6" s="24" t="n">
        <f aca="false">-Receita!F11</f>
        <v>-74503.4384909655</v>
      </c>
      <c r="F6" s="24" t="n">
        <f aca="false">-Receita!G11</f>
        <v>-76612.6128441642</v>
      </c>
      <c r="G6" s="24" t="n">
        <f aca="false">-Receita!H11</f>
        <v>-78356.3853615926</v>
      </c>
      <c r="H6" s="24" t="n">
        <f aca="false">-Receita!I11</f>
        <v>-79822.5448836376</v>
      </c>
      <c r="I6" s="24" t="n">
        <f aca="false">-Receita!J11</f>
        <v>-81655.1988961975</v>
      </c>
      <c r="J6" s="24" t="n">
        <f aca="false">-Receita!K11</f>
        <v>-83766.5345204812</v>
      </c>
      <c r="K6" s="24" t="n">
        <f aca="false">-Receita!L11</f>
        <v>-85990.9207610306</v>
      </c>
      <c r="L6" s="24" t="n">
        <f aca="false">-Receita!M11</f>
        <v>-87927.120504288</v>
      </c>
      <c r="M6" s="24" t="n">
        <f aca="false">-Receita!N11</f>
        <v>-88704.2238531936</v>
      </c>
      <c r="N6" s="24" t="n">
        <f aca="false">SUM(B6:M6)</f>
        <v>-948704.048708031</v>
      </c>
      <c r="O6" s="32" t="n">
        <f aca="false">IFERROR(N6/$N$7,0)</f>
        <v>-0.123595505617978</v>
      </c>
    </row>
    <row r="7" customFormat="false" ht="15" hidden="false" customHeight="false" outlineLevel="0" collapsed="false">
      <c r="A7" s="33" t="s">
        <v>97</v>
      </c>
      <c r="B7" s="34" t="n">
        <f aca="false">B5+B6</f>
        <v>554605.28</v>
      </c>
      <c r="C7" s="34" t="n">
        <f aca="false">C5+C6</f>
        <v>568859.21384</v>
      </c>
      <c r="D7" s="34" t="n">
        <f aca="false">D5+D6</f>
        <v>586671.06113552</v>
      </c>
      <c r="E7" s="34" t="n">
        <f aca="false">E5+E6</f>
        <v>602800.547790539</v>
      </c>
      <c r="F7" s="34" t="n">
        <f aca="false">F5+F6</f>
        <v>619865.685739147</v>
      </c>
      <c r="G7" s="34" t="n">
        <f aca="false">G5+G6</f>
        <v>633974.390652886</v>
      </c>
      <c r="H7" s="34" t="n">
        <f aca="false">H5+H6</f>
        <v>645836.954058522</v>
      </c>
      <c r="I7" s="34" t="n">
        <f aca="false">I5+I6</f>
        <v>660664.791069235</v>
      </c>
      <c r="J7" s="34" t="n">
        <f aca="false">J5+J6</f>
        <v>677747.415665712</v>
      </c>
      <c r="K7" s="34" t="n">
        <f aca="false">K5+K6</f>
        <v>695744.722521066</v>
      </c>
      <c r="L7" s="34" t="n">
        <f aca="false">L5+L6</f>
        <v>711410.338625603</v>
      </c>
      <c r="M7" s="34" t="n">
        <f aca="false">M5+M6</f>
        <v>717697.811175839</v>
      </c>
      <c r="N7" s="34" t="n">
        <f aca="false">SUM(B7:M7)</f>
        <v>7675878.21227407</v>
      </c>
      <c r="O7" s="35" t="n">
        <f aca="false">IFERROR(N7/$N$7,0)</f>
        <v>1</v>
      </c>
    </row>
    <row r="8" customFormat="false" ht="15" hidden="false" customHeight="false" outlineLevel="0" collapsed="false">
      <c r="A8" s="18" t="s">
        <v>116</v>
      </c>
      <c r="B8" s="24" t="n">
        <f aca="false">-Custos!C8</f>
        <v>-111737.6</v>
      </c>
      <c r="C8" s="24" t="n">
        <f aca="false">-Custos!D8</f>
        <v>-114609.3728</v>
      </c>
      <c r="D8" s="24" t="n">
        <f aca="false">-Custos!E8</f>
        <v>-118197.9665984</v>
      </c>
      <c r="E8" s="24" t="n">
        <f aca="false">-Custos!F8</f>
        <v>-121447.611333235</v>
      </c>
      <c r="F8" s="24" t="n">
        <f aca="false">-Custos!G8</f>
        <v>-124885.763883904</v>
      </c>
      <c r="G8" s="24" t="n">
        <f aca="false">-Custos!H8</f>
        <v>-127728.277078458</v>
      </c>
      <c r="H8" s="24" t="n">
        <f aca="false">-Custos!I8</f>
        <v>-130118.254982732</v>
      </c>
      <c r="I8" s="24" t="n">
        <f aca="false">-Custos!J8</f>
        <v>-133105.653373112</v>
      </c>
      <c r="J8" s="24" t="n">
        <f aca="false">-Custos!K8</f>
        <v>-136547.328998904</v>
      </c>
      <c r="K8" s="24" t="n">
        <f aca="false">-Custos!L8</f>
        <v>-140173.287760928</v>
      </c>
      <c r="L8" s="24" t="n">
        <f aca="false">-Custos!M8</f>
        <v>-143329.475430187</v>
      </c>
      <c r="M8" s="24" t="n">
        <f aca="false">-Custos!N8</f>
        <v>-144596.226970723</v>
      </c>
      <c r="N8" s="24" t="n">
        <f aca="false">SUM(B8:M8)</f>
        <v>-1546476.81921058</v>
      </c>
      <c r="O8" s="32" t="n">
        <f aca="false">IFERROR(N8/$N$7,0)</f>
        <v>-0.201472297559086</v>
      </c>
    </row>
    <row r="9" customFormat="false" ht="15" hidden="false" customHeight="false" outlineLevel="0" collapsed="false">
      <c r="A9" s="18" t="s">
        <v>117</v>
      </c>
      <c r="B9" s="24" t="n">
        <f aca="false">-Custos!C9</f>
        <v>-31157.6</v>
      </c>
      <c r="C9" s="24" t="n">
        <f aca="false">-Custos!D9</f>
        <v>-31958.3828</v>
      </c>
      <c r="D9" s="24" t="n">
        <f aca="false">-Custos!E9</f>
        <v>-32959.0483784</v>
      </c>
      <c r="E9" s="24" t="n">
        <f aca="false">-Custos!F9</f>
        <v>-33865.1993140752</v>
      </c>
      <c r="F9" s="24" t="n">
        <f aca="false">-Custos!G9</f>
        <v>-34823.9149291656</v>
      </c>
      <c r="G9" s="24" t="n">
        <f aca="false">-Custos!H9</f>
        <v>-35616.5388007239</v>
      </c>
      <c r="H9" s="24" t="n">
        <f aca="false">-Custos!I9</f>
        <v>-36282.974947108</v>
      </c>
      <c r="I9" s="24" t="n">
        <f aca="false">-Custos!J9</f>
        <v>-37115.9994982716</v>
      </c>
      <c r="J9" s="24" t="n">
        <f aca="false">-Custos!K9</f>
        <v>-38075.6975093096</v>
      </c>
      <c r="K9" s="24" t="n">
        <f aca="false">-Custos!L9</f>
        <v>-39086.7821641048</v>
      </c>
      <c r="L9" s="24" t="n">
        <f aca="false">-Custos!M9</f>
        <v>-39966.8729564945</v>
      </c>
      <c r="M9" s="24" t="n">
        <f aca="false">-Custos!N9</f>
        <v>-40320.1017514517</v>
      </c>
      <c r="N9" s="24" t="n">
        <f aca="false">SUM(B9:M9)</f>
        <v>-431229.113049105</v>
      </c>
      <c r="O9" s="32" t="n">
        <f aca="false">IFERROR(N9/$N$7,0)</f>
        <v>-0.0561797752808989</v>
      </c>
    </row>
    <row r="10" customFormat="false" ht="15" hidden="false" customHeight="false" outlineLevel="0" collapsed="false">
      <c r="A10" s="33" t="s">
        <v>118</v>
      </c>
      <c r="B10" s="34" t="n">
        <f aca="false">B7+B8+B9</f>
        <v>411710.08</v>
      </c>
      <c r="C10" s="34" t="n">
        <f aca="false">C7+C8+C9</f>
        <v>422291.45824</v>
      </c>
      <c r="D10" s="34" t="n">
        <f aca="false">D7+D8+D9</f>
        <v>435514.04615872</v>
      </c>
      <c r="E10" s="34" t="n">
        <f aca="false">E7+E8+E9</f>
        <v>447487.737143228</v>
      </c>
      <c r="F10" s="34" t="n">
        <f aca="false">F7+F8+F9</f>
        <v>460156.006926077</v>
      </c>
      <c r="G10" s="34" t="n">
        <f aca="false">G7+G8+G9</f>
        <v>470629.574773703</v>
      </c>
      <c r="H10" s="34" t="n">
        <f aca="false">H7+H8+H9</f>
        <v>479435.724128682</v>
      </c>
      <c r="I10" s="34" t="n">
        <f aca="false">I7+I8+I9</f>
        <v>490443.138197851</v>
      </c>
      <c r="J10" s="34" t="n">
        <f aca="false">J7+J8+J9</f>
        <v>503124.389157498</v>
      </c>
      <c r="K10" s="34" t="n">
        <f aca="false">K7+K8+K9</f>
        <v>516484.652596033</v>
      </c>
      <c r="L10" s="34" t="n">
        <f aca="false">L7+L8+L9</f>
        <v>528113.990238921</v>
      </c>
      <c r="M10" s="34" t="n">
        <f aca="false">M7+M8+M9</f>
        <v>532781.482453665</v>
      </c>
      <c r="N10" s="34" t="n">
        <f aca="false">SUM(B10:M10)</f>
        <v>5698172.28001438</v>
      </c>
      <c r="O10" s="35" t="n">
        <f aca="false">IFERROR(N10/$N$7,0)</f>
        <v>0.742347927160016</v>
      </c>
    </row>
    <row r="11" customFormat="false" ht="15" hidden="false" customHeight="false" outlineLevel="0" collapsed="false">
      <c r="A11" s="18" t="s">
        <v>119</v>
      </c>
      <c r="B11" s="24" t="n">
        <f aca="false">-Custos!C14</f>
        <v>-243100</v>
      </c>
      <c r="C11" s="24" t="n">
        <f aca="false">-Custos!D14</f>
        <v>-243100</v>
      </c>
      <c r="D11" s="24" t="n">
        <f aca="false">-Custos!E14</f>
        <v>-243100</v>
      </c>
      <c r="E11" s="24" t="n">
        <f aca="false">-Custos!F14</f>
        <v>-265200</v>
      </c>
      <c r="F11" s="24" t="n">
        <f aca="false">-Custos!G14</f>
        <v>-265200</v>
      </c>
      <c r="G11" s="24" t="n">
        <f aca="false">-Custos!H14</f>
        <v>-265200</v>
      </c>
      <c r="H11" s="24" t="n">
        <f aca="false">-Custos!I14</f>
        <v>-287300</v>
      </c>
      <c r="I11" s="24" t="n">
        <f aca="false">-Custos!J14</f>
        <v>-287300</v>
      </c>
      <c r="J11" s="24" t="n">
        <f aca="false">-Custos!K14</f>
        <v>-287300</v>
      </c>
      <c r="K11" s="24" t="n">
        <f aca="false">-Custos!L14</f>
        <v>-309400</v>
      </c>
      <c r="L11" s="24" t="n">
        <f aca="false">-Custos!M14</f>
        <v>-309400</v>
      </c>
      <c r="M11" s="24" t="n">
        <f aca="false">-Custos!N14</f>
        <v>-309400</v>
      </c>
      <c r="N11" s="24" t="n">
        <f aca="false">SUM(B11:M11)</f>
        <v>-3315000</v>
      </c>
      <c r="O11" s="32" t="n">
        <f aca="false">IFERROR(N11/$N$7,0)</f>
        <v>-0.431872407081599</v>
      </c>
    </row>
    <row r="12" customFormat="false" ht="15" hidden="false" customHeight="false" outlineLevel="0" collapsed="false">
      <c r="A12" s="18" t="s">
        <v>120</v>
      </c>
      <c r="B12" s="24" t="n">
        <f aca="false">-Custos!C21</f>
        <v>-143000</v>
      </c>
      <c r="C12" s="24" t="n">
        <f aca="false">-Custos!D21</f>
        <v>-143000</v>
      </c>
      <c r="D12" s="24" t="n">
        <f aca="false">-Custos!E21</f>
        <v>-143000</v>
      </c>
      <c r="E12" s="24" t="n">
        <f aca="false">-Custos!F21</f>
        <v>-143000</v>
      </c>
      <c r="F12" s="24" t="n">
        <f aca="false">-Custos!G21</f>
        <v>-143000</v>
      </c>
      <c r="G12" s="24" t="n">
        <f aca="false">-Custos!H21</f>
        <v>-143000</v>
      </c>
      <c r="H12" s="24" t="n">
        <f aca="false">-Custos!I21</f>
        <v>-150150</v>
      </c>
      <c r="I12" s="24" t="n">
        <f aca="false">-Custos!J21</f>
        <v>-150150</v>
      </c>
      <c r="J12" s="24" t="n">
        <f aca="false">-Custos!K21</f>
        <v>-150150</v>
      </c>
      <c r="K12" s="24" t="n">
        <f aca="false">-Custos!L21</f>
        <v>-150150</v>
      </c>
      <c r="L12" s="24" t="n">
        <f aca="false">-Custos!M21</f>
        <v>-150150</v>
      </c>
      <c r="M12" s="24" t="n">
        <f aca="false">-Custos!N21</f>
        <v>-150150</v>
      </c>
      <c r="N12" s="24" t="n">
        <f aca="false">SUM(B12:M12)</f>
        <v>-1758900</v>
      </c>
      <c r="O12" s="32" t="n">
        <f aca="false">IFERROR(N12/$N$7,0)</f>
        <v>-0.229146418345648</v>
      </c>
    </row>
    <row r="13" customFormat="false" ht="15" hidden="false" customHeight="false" outlineLevel="0" collapsed="false">
      <c r="A13" s="33" t="s">
        <v>121</v>
      </c>
      <c r="B13" s="34" t="n">
        <f aca="false">B10+B11+B12</f>
        <v>25610.0800000001</v>
      </c>
      <c r="C13" s="34" t="n">
        <f aca="false">C10+C11+C12</f>
        <v>36191.45824</v>
      </c>
      <c r="D13" s="34" t="n">
        <f aca="false">D10+D11+D12</f>
        <v>49414.04615872</v>
      </c>
      <c r="E13" s="34" t="n">
        <f aca="false">E10+E11+E12</f>
        <v>39287.7371432282</v>
      </c>
      <c r="F13" s="34" t="n">
        <f aca="false">F10+F11+F12</f>
        <v>51956.0069260771</v>
      </c>
      <c r="G13" s="34" t="n">
        <f aca="false">G10+G11+G12</f>
        <v>62429.5747737035</v>
      </c>
      <c r="H13" s="34" t="n">
        <f aca="false">H10+H11+H12</f>
        <v>41985.7241286821</v>
      </c>
      <c r="I13" s="34" t="n">
        <f aca="false">I10+I11+I12</f>
        <v>52993.138197851</v>
      </c>
      <c r="J13" s="34" t="n">
        <f aca="false">J10+J11+J12</f>
        <v>65674.3891574984</v>
      </c>
      <c r="K13" s="34" t="n">
        <f aca="false">K10+K11+K12</f>
        <v>56934.6525960335</v>
      </c>
      <c r="L13" s="34" t="n">
        <f aca="false">L10+L11+L12</f>
        <v>68563.9902389207</v>
      </c>
      <c r="M13" s="34" t="n">
        <f aca="false">M10+M11+M12</f>
        <v>73231.4824536645</v>
      </c>
      <c r="N13" s="34" t="n">
        <f aca="false">SUM(B13:M13)</f>
        <v>624272.280014379</v>
      </c>
      <c r="O13" s="35" t="n">
        <f aca="false">IFERROR(N13/$N$7,0)</f>
        <v>0.0813291017327685</v>
      </c>
    </row>
    <row r="14" customFormat="false" ht="15" hidden="false" customHeight="false" outlineLevel="0" collapsed="false">
      <c r="A14" s="18" t="s">
        <v>122</v>
      </c>
      <c r="B14" s="24" t="n">
        <f aca="false">-Custos!C22</f>
        <v>-15000</v>
      </c>
      <c r="C14" s="24" t="n">
        <f aca="false">-Custos!D22</f>
        <v>-15000</v>
      </c>
      <c r="D14" s="24" t="n">
        <f aca="false">-Custos!E22</f>
        <v>-15000</v>
      </c>
      <c r="E14" s="24" t="n">
        <f aca="false">-Custos!F22</f>
        <v>-15000</v>
      </c>
      <c r="F14" s="24" t="n">
        <f aca="false">-Custos!G22</f>
        <v>-15000</v>
      </c>
      <c r="G14" s="24" t="n">
        <f aca="false">-Custos!H22</f>
        <v>-15000</v>
      </c>
      <c r="H14" s="24" t="n">
        <f aca="false">-Custos!I22</f>
        <v>-15000</v>
      </c>
      <c r="I14" s="24" t="n">
        <f aca="false">-Custos!J22</f>
        <v>-15000</v>
      </c>
      <c r="J14" s="24" t="n">
        <f aca="false">-Custos!K22</f>
        <v>-15000</v>
      </c>
      <c r="K14" s="24" t="n">
        <f aca="false">-Custos!L22</f>
        <v>-15000</v>
      </c>
      <c r="L14" s="24" t="n">
        <f aca="false">-Custos!M22</f>
        <v>-15000</v>
      </c>
      <c r="M14" s="24" t="n">
        <f aca="false">-Custos!N22</f>
        <v>-15000</v>
      </c>
      <c r="N14" s="24" t="n">
        <f aca="false">SUM(B14:M14)</f>
        <v>-180000</v>
      </c>
      <c r="O14" s="32" t="n">
        <f aca="false">IFERROR(N14/$N$7,0)</f>
        <v>-0.0234500854523945</v>
      </c>
    </row>
    <row r="15" customFormat="false" ht="15" hidden="false" customHeight="false" outlineLevel="0" collapsed="false">
      <c r="A15" s="33" t="s">
        <v>123</v>
      </c>
      <c r="B15" s="34" t="n">
        <f aca="false">B13+B14</f>
        <v>10610.0800000001</v>
      </c>
      <c r="C15" s="34" t="n">
        <f aca="false">C13+C14</f>
        <v>21191.45824</v>
      </c>
      <c r="D15" s="34" t="n">
        <f aca="false">D13+D14</f>
        <v>34414.04615872</v>
      </c>
      <c r="E15" s="34" t="n">
        <f aca="false">E13+E14</f>
        <v>24287.7371432282</v>
      </c>
      <c r="F15" s="34" t="n">
        <f aca="false">F13+F14</f>
        <v>36956.0069260771</v>
      </c>
      <c r="G15" s="34" t="n">
        <f aca="false">G13+G14</f>
        <v>47429.5747737035</v>
      </c>
      <c r="H15" s="34" t="n">
        <f aca="false">H13+H14</f>
        <v>26985.7241286821</v>
      </c>
      <c r="I15" s="34" t="n">
        <f aca="false">I13+I14</f>
        <v>37993.138197851</v>
      </c>
      <c r="J15" s="34" t="n">
        <f aca="false">J13+J14</f>
        <v>50674.3891574984</v>
      </c>
      <c r="K15" s="34" t="n">
        <f aca="false">K13+K14</f>
        <v>41934.6525960335</v>
      </c>
      <c r="L15" s="34" t="n">
        <f aca="false">L13+L14</f>
        <v>53563.9902389207</v>
      </c>
      <c r="M15" s="34" t="n">
        <f aca="false">M13+M14</f>
        <v>58231.4824536645</v>
      </c>
      <c r="N15" s="34" t="n">
        <f aca="false">SUM(B15:M15)</f>
        <v>444272.280014379</v>
      </c>
      <c r="O15" s="35" t="n">
        <f aca="false">IFERROR(N15/$N$7,0)</f>
        <v>0.057879016280374</v>
      </c>
    </row>
    <row r="16" customFormat="false" ht="15" hidden="false" customHeight="false" outlineLevel="0" collapsed="false">
      <c r="A16" s="18" t="s">
        <v>124</v>
      </c>
      <c r="B16" s="24" t="n">
        <f aca="false">-MAX(0,B15)*Premissas!$B$9</f>
        <v>-3607.42720000003</v>
      </c>
      <c r="C16" s="24" t="n">
        <f aca="false">-MAX(0,C15)*Premissas!$B$9</f>
        <v>-7205.09580159998</v>
      </c>
      <c r="D16" s="24" t="n">
        <f aca="false">-MAX(0,D15)*Premissas!$B$9</f>
        <v>-11700.7756939648</v>
      </c>
      <c r="E16" s="24" t="n">
        <f aca="false">-MAX(0,E15)*Premissas!$B$9</f>
        <v>-8257.83062869758</v>
      </c>
      <c r="F16" s="24" t="n">
        <f aca="false">-MAX(0,F15)*Premissas!$B$9</f>
        <v>-12565.0423548662</v>
      </c>
      <c r="G16" s="24" t="n">
        <f aca="false">-MAX(0,G15)*Premissas!$B$9</f>
        <v>-16126.0554230592</v>
      </c>
      <c r="H16" s="24" t="n">
        <f aca="false">-MAX(0,H15)*Premissas!$B$9</f>
        <v>-9175.1462037519</v>
      </c>
      <c r="I16" s="24" t="n">
        <f aca="false">-MAX(0,I15)*Premissas!$B$9</f>
        <v>-12917.6669872693</v>
      </c>
      <c r="J16" s="24" t="n">
        <f aca="false">-MAX(0,J15)*Premissas!$B$9</f>
        <v>-17229.2923135495</v>
      </c>
      <c r="K16" s="24" t="n">
        <f aca="false">-MAX(0,K15)*Premissas!$B$9</f>
        <v>-14257.7818826514</v>
      </c>
      <c r="L16" s="24" t="n">
        <f aca="false">-MAX(0,L15)*Premissas!$B$9</f>
        <v>-18211.756681233</v>
      </c>
      <c r="M16" s="24" t="n">
        <f aca="false">-MAX(0,M15)*Premissas!$B$9</f>
        <v>-19798.7040342459</v>
      </c>
      <c r="N16" s="24" t="n">
        <f aca="false">SUM(B16:M16)</f>
        <v>-151052.575204889</v>
      </c>
      <c r="O16" s="32" t="n">
        <f aca="false">IFERROR(N16/$N$7,0)</f>
        <v>-0.0196788655353272</v>
      </c>
    </row>
    <row r="17" customFormat="false" ht="15" hidden="false" customHeight="false" outlineLevel="0" collapsed="false">
      <c r="A17" s="36" t="s">
        <v>125</v>
      </c>
      <c r="B17" s="37" t="n">
        <f aca="false">B15+B16</f>
        <v>7002.65280000005</v>
      </c>
      <c r="C17" s="37" t="n">
        <f aca="false">C15+C16</f>
        <v>13986.3624384</v>
      </c>
      <c r="D17" s="37" t="n">
        <f aca="false">D15+D16</f>
        <v>22713.2704647552</v>
      </c>
      <c r="E17" s="37" t="n">
        <f aca="false">E15+E16</f>
        <v>16029.9065145306</v>
      </c>
      <c r="F17" s="37" t="n">
        <f aca="false">F15+F16</f>
        <v>24390.9645712109</v>
      </c>
      <c r="G17" s="37" t="n">
        <f aca="false">G15+G16</f>
        <v>31303.5193506443</v>
      </c>
      <c r="H17" s="37" t="n">
        <f aca="false">H15+H16</f>
        <v>17810.5779249302</v>
      </c>
      <c r="I17" s="37" t="n">
        <f aca="false">I15+I16</f>
        <v>25075.4712105817</v>
      </c>
      <c r="J17" s="37" t="n">
        <f aca="false">J15+J16</f>
        <v>33445.0968439489</v>
      </c>
      <c r="K17" s="37" t="n">
        <f aca="false">K15+K16</f>
        <v>27676.8707133821</v>
      </c>
      <c r="L17" s="37" t="n">
        <f aca="false">L15+L16</f>
        <v>35352.2335576876</v>
      </c>
      <c r="M17" s="37" t="n">
        <f aca="false">M15+M16</f>
        <v>38432.7784194186</v>
      </c>
      <c r="N17" s="37" t="n">
        <f aca="false">SUM(B17:M17)</f>
        <v>293219.70480949</v>
      </c>
      <c r="O17" s="38" t="n">
        <f aca="false">IFERROR(N17/$N$7,0)</f>
        <v>0.0382001507450468</v>
      </c>
    </row>
    <row r="19" customFormat="false" ht="15" hidden="false" customHeight="false" outlineLevel="0" collapsed="false">
      <c r="A19" s="26" t="s">
        <v>126</v>
      </c>
    </row>
    <row r="20" customFormat="false" ht="15" hidden="false" customHeight="false" outlineLevel="0" collapsed="false">
      <c r="A20" s="18" t="s">
        <v>118</v>
      </c>
      <c r="B20" s="39" t="n">
        <f aca="false">IFERROR(B10/B7,0)</f>
        <v>0.742347927160016</v>
      </c>
      <c r="C20" s="39" t="n">
        <f aca="false">IFERROR(C10/C7,0)</f>
        <v>0.742347927160015</v>
      </c>
      <c r="D20" s="39" t="n">
        <f aca="false">IFERROR(D10/D7,0)</f>
        <v>0.742347927160016</v>
      </c>
      <c r="E20" s="39" t="n">
        <f aca="false">IFERROR(E10/E7,0)</f>
        <v>0.742347927160015</v>
      </c>
      <c r="F20" s="39" t="n">
        <f aca="false">IFERROR(F10/F7,0)</f>
        <v>0.742347927160015</v>
      </c>
      <c r="G20" s="39" t="n">
        <f aca="false">IFERROR(G10/G7,0)</f>
        <v>0.742347927160016</v>
      </c>
      <c r="H20" s="39" t="n">
        <f aca="false">IFERROR(H10/H7,0)</f>
        <v>0.742347927160016</v>
      </c>
      <c r="I20" s="39" t="n">
        <f aca="false">IFERROR(I10/I7,0)</f>
        <v>0.742347927160016</v>
      </c>
      <c r="J20" s="39" t="n">
        <f aca="false">IFERROR(J10/J7,0)</f>
        <v>0.742347927160016</v>
      </c>
      <c r="K20" s="39" t="n">
        <f aca="false">IFERROR(K10/K7,0)</f>
        <v>0.742347927160016</v>
      </c>
      <c r="L20" s="39" t="n">
        <f aca="false">IFERROR(L10/L7,0)</f>
        <v>0.742347927160015</v>
      </c>
      <c r="M20" s="39" t="n">
        <f aca="false">IFERROR(M10/M7,0)</f>
        <v>0.742347927160016</v>
      </c>
      <c r="N20" s="39" t="n">
        <f aca="false">IFERROR(N10/N7,0)</f>
        <v>0.742347927160016</v>
      </c>
    </row>
    <row r="21" customFormat="false" ht="15" hidden="false" customHeight="false" outlineLevel="0" collapsed="false">
      <c r="A21" s="18" t="s">
        <v>127</v>
      </c>
      <c r="B21" s="39" t="n">
        <f aca="false">IFERROR(B13/B7,0)</f>
        <v>0.0461771297958073</v>
      </c>
      <c r="C21" s="39" t="n">
        <f aca="false">IFERROR(C13/C7,0)</f>
        <v>0.0636211163667278</v>
      </c>
      <c r="D21" s="39" t="n">
        <f aca="false">IFERROR(D13/D7,0)</f>
        <v>0.0842278568557269</v>
      </c>
      <c r="E21" s="39" t="n">
        <f aca="false">IFERROR(E13/E7,0)</f>
        <v>0.0651753507644122</v>
      </c>
      <c r="F21" s="39" t="n">
        <f aca="false">IFERROR(F13/F7,0)</f>
        <v>0.0838181691959979</v>
      </c>
      <c r="G21" s="39" t="n">
        <f aca="false">IFERROR(G13/G7,0)</f>
        <v>0.0984733385041179</v>
      </c>
      <c r="H21" s="39" t="n">
        <f aca="false">IFERROR(H13/H7,0)</f>
        <v>0.0650097890262215</v>
      </c>
      <c r="I21" s="39" t="n">
        <f aca="false">IFERROR(I13/I7,0)</f>
        <v>0.0802118395201381</v>
      </c>
      <c r="J21" s="39" t="n">
        <f aca="false">IFERROR(J13/J7,0)</f>
        <v>0.096900980571044</v>
      </c>
      <c r="K21" s="39" t="n">
        <f aca="false">IFERROR(K13/K7,0)</f>
        <v>0.0818326762001556</v>
      </c>
      <c r="L21" s="39" t="n">
        <f aca="false">IFERROR(L13/L7,0)</f>
        <v>0.0963775566874411</v>
      </c>
      <c r="M21" s="39" t="n">
        <f aca="false">IFERROR(M13/M7,0)</f>
        <v>0.102036652910625</v>
      </c>
      <c r="N21" s="39" t="n">
        <f aca="false">IFERROR(N13/N7,0)</f>
        <v>0.0813291017327685</v>
      </c>
    </row>
    <row r="22" customFormat="false" ht="15" hidden="false" customHeight="false" outlineLevel="0" collapsed="false">
      <c r="A22" s="18" t="s">
        <v>128</v>
      </c>
      <c r="B22" s="39" t="n">
        <f aca="false">IFERROR(B17/B7,0)</f>
        <v>0.0126263723994839</v>
      </c>
      <c r="C22" s="39" t="n">
        <f aca="false">IFERROR(C17/C7,0)</f>
        <v>0.0245866852432381</v>
      </c>
      <c r="D22" s="39" t="n">
        <f aca="false">IFERROR(D17/D7,0)</f>
        <v>0.0387155119272339</v>
      </c>
      <c r="E22" s="39" t="n">
        <f aca="false">IFERROR(E17/E7,0)</f>
        <v>0.0265923887648833</v>
      </c>
      <c r="F22" s="39" t="n">
        <f aca="false">IFERROR(F17/F7,0)</f>
        <v>0.0393487897981098</v>
      </c>
      <c r="G22" s="39" t="n">
        <f aca="false">IFERROR(G17/G7,0)</f>
        <v>0.0493766306844146</v>
      </c>
      <c r="H22" s="39" t="n">
        <f aca="false">IFERROR(H17/H7,0)</f>
        <v>0.0275775144376707</v>
      </c>
      <c r="I22" s="39" t="n">
        <f aca="false">IFERROR(I17/I7,0)</f>
        <v>0.0379549077679756</v>
      </c>
      <c r="J22" s="39" t="n">
        <f aca="false">IFERROR(J17/J7,0)</f>
        <v>0.0493474354470209</v>
      </c>
      <c r="K22" s="39" t="n">
        <f aca="false">IFERROR(K17/K7,0)</f>
        <v>0.0397802093461716</v>
      </c>
      <c r="L22" s="39" t="n">
        <f aca="false">IFERROR(L17/L7,0)</f>
        <v>0.0496931681172722</v>
      </c>
      <c r="M22" s="39" t="n">
        <f aca="false">IFERROR(M17/M7,0)</f>
        <v>0.0535500844797789</v>
      </c>
      <c r="N22" s="39" t="n">
        <f aca="false">IFERROR(N17/N7,0)</f>
        <v>0.0382001507450468</v>
      </c>
    </row>
    <row r="23" customFormat="false" ht="15" hidden="false" customHeight="false" outlineLevel="0" collapsed="false">
      <c r="A23" s="18" t="s">
        <v>129</v>
      </c>
      <c r="B23" s="27" t="n">
        <f aca="false">Receita!C8</f>
        <v>429.76</v>
      </c>
      <c r="C23" s="27" t="n">
        <f aca="false">Receita!D8</f>
        <v>440.80528</v>
      </c>
      <c r="D23" s="27" t="n">
        <f aca="false">Receita!E8</f>
        <v>454.60756384</v>
      </c>
      <c r="E23" s="27" t="n">
        <f aca="false">Receita!F8</f>
        <v>467.10619743552</v>
      </c>
      <c r="F23" s="27" t="n">
        <f aca="false">Receita!G8</f>
        <v>480.329861091939</v>
      </c>
      <c r="G23" s="27" t="n">
        <f aca="false">Receita!H8</f>
        <v>491.262604147916</v>
      </c>
      <c r="H23" s="27" t="n">
        <f aca="false">Receita!I8</f>
        <v>500.454826856662</v>
      </c>
      <c r="I23" s="27" t="n">
        <f aca="false">Receita!J8</f>
        <v>511.944820665815</v>
      </c>
      <c r="J23" s="27" t="n">
        <f aca="false">Receita!K8</f>
        <v>525.182034611167</v>
      </c>
      <c r="K23" s="27" t="n">
        <f aca="false">Receita!L8</f>
        <v>539.128029849722</v>
      </c>
      <c r="L23" s="27" t="n">
        <f aca="false">Receita!M8</f>
        <v>551.267213193028</v>
      </c>
      <c r="M23" s="27" t="n">
        <f aca="false">Receita!N8</f>
        <v>556.139334502781</v>
      </c>
      <c r="N23" s="27" t="n">
        <f aca="false">Receita!O8</f>
        <v>556.139334502781</v>
      </c>
    </row>
    <row r="44" customFormat="false" ht="15" hidden="false" customHeight="false" outlineLevel="0" collapsed="false">
      <c r="A44" s="8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&amp;LModelo LeverPro · @alyssonguimaraes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8"/>
    <col collapsed="false" customWidth="true" hidden="false" outlineLevel="0" max="7" min="4" style="0" width="15"/>
    <col collapsed="false" customWidth="true" hidden="false" outlineLevel="0" max="16" min="8" style="0" width="12"/>
  </cols>
  <sheetData>
    <row r="1" customFormat="false" ht="19.7" hidden="false" customHeight="false" outlineLevel="0" collapsed="false">
      <c r="A1" s="1" t="s">
        <v>130</v>
      </c>
    </row>
    <row r="2" customFormat="false" ht="15" hidden="false" customHeight="false" outlineLevel="0" collapsed="false">
      <c r="A2" s="2" t="s">
        <v>131</v>
      </c>
    </row>
    <row r="3" customFormat="false" ht="15" hidden="false" customHeight="false" outlineLevel="0" collapsed="false">
      <c r="A3" s="40" t="s">
        <v>132</v>
      </c>
      <c r="B3" s="41" t="n">
        <v>0.1</v>
      </c>
    </row>
    <row r="5" customFormat="false" ht="21.75" hidden="false" customHeight="true" outlineLevel="0" collapsed="false">
      <c r="A5" s="9" t="s">
        <v>133</v>
      </c>
      <c r="B5" s="10" t="s">
        <v>134</v>
      </c>
      <c r="C5" s="10" t="s">
        <v>135</v>
      </c>
      <c r="D5" s="10" t="s">
        <v>136</v>
      </c>
      <c r="E5" s="10" t="s">
        <v>137</v>
      </c>
      <c r="F5" s="10" t="s">
        <v>138</v>
      </c>
      <c r="G5" s="10" t="s">
        <v>139</v>
      </c>
    </row>
    <row r="6" customFormat="false" ht="15" hidden="false" customHeight="false" outlineLevel="0" collapsed="false">
      <c r="A6" s="42" t="s">
        <v>140</v>
      </c>
      <c r="B6" s="43" t="n">
        <f aca="false">P25</f>
        <v>193721.323654093</v>
      </c>
      <c r="C6" s="43" t="n">
        <f aca="false">P22</f>
        <v>293219.704809489</v>
      </c>
      <c r="D6" s="43" t="n">
        <f aca="false">P28</f>
        <v>392718.085964886</v>
      </c>
      <c r="E6" s="43" t="n">
        <f aca="false">B6-C6</f>
        <v>-99498.3811553965</v>
      </c>
      <c r="F6" s="43" t="n">
        <f aca="false">D6-C6</f>
        <v>99498.3811553966</v>
      </c>
      <c r="G6" s="44" t="n">
        <f aca="false">ABS(F6-E6)</f>
        <v>198996.762310793</v>
      </c>
    </row>
    <row r="7" customFormat="false" ht="15" hidden="false" customHeight="false" outlineLevel="0" collapsed="false">
      <c r="A7" s="42" t="s">
        <v>141</v>
      </c>
      <c r="B7" s="43" t="n">
        <f aca="false">P31</f>
        <v>193721.323654093</v>
      </c>
      <c r="C7" s="43" t="n">
        <f aca="false">P22</f>
        <v>293219.704809489</v>
      </c>
      <c r="D7" s="43" t="n">
        <f aca="false">P34</f>
        <v>392718.085964886</v>
      </c>
      <c r="E7" s="43" t="n">
        <f aca="false">B7-C7</f>
        <v>-99498.3811553965</v>
      </c>
      <c r="F7" s="43" t="n">
        <f aca="false">D7-C7</f>
        <v>99498.3811553962</v>
      </c>
      <c r="G7" s="44" t="n">
        <f aca="false">ABS(F7-E7)</f>
        <v>198996.762310793</v>
      </c>
    </row>
    <row r="8" customFormat="false" ht="15" hidden="false" customHeight="false" outlineLevel="0" collapsed="false">
      <c r="A8" s="42" t="s">
        <v>142</v>
      </c>
      <c r="B8" s="43" t="n">
        <f aca="false">P37</f>
        <v>340024.432638193</v>
      </c>
      <c r="C8" s="43" t="n">
        <f aca="false">P22</f>
        <v>293219.704809489</v>
      </c>
      <c r="D8" s="43" t="n">
        <f aca="false">P40</f>
        <v>247120.171639947</v>
      </c>
      <c r="E8" s="43" t="n">
        <f aca="false">B8-C8</f>
        <v>46804.7278287032</v>
      </c>
      <c r="F8" s="43" t="n">
        <f aca="false">D8-C8</f>
        <v>-46099.5331695422</v>
      </c>
      <c r="G8" s="44" t="n">
        <f aca="false">ABS(F8-E8)</f>
        <v>92904.2609982454</v>
      </c>
    </row>
    <row r="9" customFormat="false" ht="15" hidden="false" customHeight="false" outlineLevel="0" collapsed="false">
      <c r="A9" s="42" t="s">
        <v>143</v>
      </c>
      <c r="B9" s="43" t="n">
        <f aca="false">P43</f>
        <v>-280192.629908118</v>
      </c>
      <c r="C9" s="43" t="n">
        <f aca="false">P22</f>
        <v>293219.704809489</v>
      </c>
      <c r="D9" s="43" t="n">
        <f aca="false">P46</f>
        <v>771366.545358337</v>
      </c>
      <c r="E9" s="43" t="n">
        <f aca="false">B9-C9</f>
        <v>-573412.334717608</v>
      </c>
      <c r="F9" s="43" t="n">
        <f aca="false">D9-C9</f>
        <v>478146.840548848</v>
      </c>
      <c r="G9" s="44" t="n">
        <f aca="false">ABS(F9-E9)</f>
        <v>1051559.17526646</v>
      </c>
    </row>
    <row r="10" customFormat="false" ht="15" hidden="false" customHeight="false" outlineLevel="0" collapsed="false">
      <c r="A10" s="42" t="s">
        <v>144</v>
      </c>
      <c r="B10" s="43" t="n">
        <f aca="false">P49</f>
        <v>395287.174877388</v>
      </c>
      <c r="C10" s="43" t="n">
        <f aca="false">P22</f>
        <v>293219.704809489</v>
      </c>
      <c r="D10" s="43" t="n">
        <f aca="false">P52</f>
        <v>190960.583541591</v>
      </c>
      <c r="E10" s="43" t="n">
        <f aca="false">B10-C10</f>
        <v>102067.470067898</v>
      </c>
      <c r="F10" s="43" t="n">
        <f aca="false">D10-C10</f>
        <v>-102259.121267899</v>
      </c>
      <c r="G10" s="44" t="n">
        <f aca="false">ABS(F10-E10)</f>
        <v>204326.591335797</v>
      </c>
    </row>
    <row r="11" customFormat="false" ht="15" hidden="false" customHeight="false" outlineLevel="0" collapsed="false">
      <c r="A11" s="42" t="s">
        <v>74</v>
      </c>
      <c r="B11" s="43" t="n">
        <f aca="false">P55</f>
        <v>512009.704809489</v>
      </c>
      <c r="C11" s="43" t="n">
        <f aca="false">P22</f>
        <v>293219.704809489</v>
      </c>
      <c r="D11" s="43" t="n">
        <f aca="false">P58</f>
        <v>67359.4046435384</v>
      </c>
      <c r="E11" s="43" t="n">
        <f aca="false">B11-C11</f>
        <v>218790</v>
      </c>
      <c r="F11" s="43" t="n">
        <f aca="false">D11-C11</f>
        <v>-225860.300165951</v>
      </c>
      <c r="G11" s="44" t="n">
        <f aca="false">ABS(F11-E11)</f>
        <v>444650.300165951</v>
      </c>
    </row>
    <row r="12" customFormat="false" ht="15" hidden="false" customHeight="false" outlineLevel="0" collapsed="false">
      <c r="A12" s="42" t="s">
        <v>76</v>
      </c>
      <c r="B12" s="43" t="n">
        <f aca="false">P61</f>
        <v>512009.704809489</v>
      </c>
      <c r="C12" s="43" t="n">
        <f aca="false">P22</f>
        <v>293219.704809489</v>
      </c>
      <c r="D12" s="43" t="n">
        <f aca="false">P64</f>
        <v>67359.4046435384</v>
      </c>
      <c r="E12" s="43" t="n">
        <f aca="false">B12-C12</f>
        <v>218790</v>
      </c>
      <c r="F12" s="43" t="n">
        <f aca="false">D12-C12</f>
        <v>-225860.300165951</v>
      </c>
      <c r="G12" s="44" t="n">
        <f aca="false">ABS(F12-E12)</f>
        <v>444650.300165951</v>
      </c>
    </row>
    <row r="13" customFormat="false" ht="15" hidden="false" customHeight="false" outlineLevel="0" collapsed="false">
      <c r="A13" s="42" t="s">
        <v>78</v>
      </c>
      <c r="B13" s="43" t="n">
        <f aca="false">P67</f>
        <v>409307.104809489</v>
      </c>
      <c r="C13" s="43" t="n">
        <f aca="false">P22</f>
        <v>293219.704809489</v>
      </c>
      <c r="D13" s="43" t="n">
        <f aca="false">P70</f>
        <v>175877.732009489</v>
      </c>
      <c r="E13" s="43" t="n">
        <f aca="false">B13-C13</f>
        <v>116087.4</v>
      </c>
      <c r="F13" s="43" t="n">
        <f aca="false">D13-C13</f>
        <v>-117341.9728</v>
      </c>
      <c r="G13" s="44" t="n">
        <f aca="false">ABS(F13-E13)</f>
        <v>233429.3728</v>
      </c>
    </row>
    <row r="14" customFormat="false" ht="15" hidden="false" customHeight="false" outlineLevel="0" collapsed="false">
      <c r="A14" s="19" t="s">
        <v>145</v>
      </c>
      <c r="C14" s="45" t="n">
        <f aca="false">ROUND(P22-DRE!N17,2)</f>
        <v>0</v>
      </c>
    </row>
    <row r="15" customFormat="false" ht="15" hidden="false" customHeight="false" outlineLevel="0" collapsed="false">
      <c r="A15" s="40" t="s">
        <v>146</v>
      </c>
      <c r="C15" s="40" t="str">
        <f aca="false">INDEX(A6:A13,MATCH(MAX(G6:G13),G6:G13,0))</f>
        <v>Ticket médio</v>
      </c>
    </row>
    <row r="18" customFormat="false" ht="15" hidden="false" customHeight="false" outlineLevel="0" collapsed="false">
      <c r="A18" s="26" t="s">
        <v>147</v>
      </c>
    </row>
    <row r="19" customFormat="false" ht="21.75" hidden="false" customHeight="true" outlineLevel="0" collapsed="false">
      <c r="A19" s="9" t="s">
        <v>148</v>
      </c>
      <c r="B19" s="10" t="s">
        <v>133</v>
      </c>
      <c r="C19" s="10" t="s">
        <v>149</v>
      </c>
      <c r="D19" s="10" t="s">
        <v>54</v>
      </c>
      <c r="E19" s="10" t="s">
        <v>55</v>
      </c>
      <c r="F19" s="10" t="s">
        <v>56</v>
      </c>
      <c r="G19" s="10" t="s">
        <v>57</v>
      </c>
      <c r="H19" s="10" t="s">
        <v>58</v>
      </c>
      <c r="I19" s="10" t="s">
        <v>59</v>
      </c>
      <c r="J19" s="10" t="s">
        <v>48</v>
      </c>
      <c r="K19" s="10" t="s">
        <v>60</v>
      </c>
      <c r="L19" s="10" t="s">
        <v>61</v>
      </c>
      <c r="M19" s="10" t="s">
        <v>62</v>
      </c>
      <c r="N19" s="10" t="s">
        <v>63</v>
      </c>
      <c r="O19" s="10" t="s">
        <v>64</v>
      </c>
      <c r="P19" s="10" t="s">
        <v>88</v>
      </c>
    </row>
    <row r="20" customFormat="false" ht="15" hidden="false" customHeight="false" outlineLevel="0" collapsed="false">
      <c r="A20" s="18" t="s">
        <v>150</v>
      </c>
      <c r="B20" s="19" t="s">
        <v>151</v>
      </c>
      <c r="C20" s="46" t="n">
        <v>0</v>
      </c>
      <c r="D20" s="20" t="n">
        <f aca="false">Premissas!$B$5*(1-Premissas!C$17*(1+IF($B20="Churn",$C20,0)))+Premissas!C$15*(1+IF($B20="Leads",$C20,0))*Premissas!C$16*(1+IF($B20="Conversão",$C20,0))</f>
        <v>429.76</v>
      </c>
      <c r="E20" s="20" t="n">
        <f aca="false">D20*(1-Premissas!D$17*(1+IF($B20="Churn",$C20,0)))+Premissas!D$15*(1+IF($B20="Leads",$C20,0))*Premissas!D$16*(1+IF($B20="Conversão",$C20,0))</f>
        <v>440.80528</v>
      </c>
      <c r="F20" s="20" t="n">
        <f aca="false">E20*(1-Premissas!E$17*(1+IF($B20="Churn",$C20,0)))+Premissas!E$15*(1+IF($B20="Leads",$C20,0))*Premissas!E$16*(1+IF($B20="Conversão",$C20,0))</f>
        <v>454.60756384</v>
      </c>
      <c r="G20" s="20" t="n">
        <f aca="false">F20*(1-Premissas!F$17*(1+IF($B20="Churn",$C20,0)))+Premissas!F$15*(1+IF($B20="Leads",$C20,0))*Premissas!F$16*(1+IF($B20="Conversão",$C20,0))</f>
        <v>467.10619743552</v>
      </c>
      <c r="H20" s="20" t="n">
        <f aca="false">G20*(1-Premissas!G$17*(1+IF($B20="Churn",$C20,0)))+Premissas!G$15*(1+IF($B20="Leads",$C20,0))*Premissas!G$16*(1+IF($B20="Conversão",$C20,0))</f>
        <v>480.329861091939</v>
      </c>
      <c r="I20" s="20" t="n">
        <f aca="false">H20*(1-Premissas!H$17*(1+IF($B20="Churn",$C20,0)))+Premissas!H$15*(1+IF($B20="Leads",$C20,0))*Premissas!H$16*(1+IF($B20="Conversão",$C20,0))</f>
        <v>491.262604147916</v>
      </c>
      <c r="J20" s="20" t="n">
        <f aca="false">I20*(1-Premissas!I$17*(1+IF($B20="Churn",$C20,0)))+Premissas!I$15*(1+IF($B20="Leads",$C20,0))*Premissas!I$16*(1+IF($B20="Conversão",$C20,0))</f>
        <v>500.454826856662</v>
      </c>
      <c r="K20" s="20" t="n">
        <f aca="false">J20*(1-Premissas!J$17*(1+IF($B20="Churn",$C20,0)))+Premissas!J$15*(1+IF($B20="Leads",$C20,0))*Premissas!J$16*(1+IF($B20="Conversão",$C20,0))</f>
        <v>511.944820665815</v>
      </c>
      <c r="L20" s="20" t="n">
        <f aca="false">K20*(1-Premissas!K$17*(1+IF($B20="Churn",$C20,0)))+Premissas!K$15*(1+IF($B20="Leads",$C20,0))*Premissas!K$16*(1+IF($B20="Conversão",$C20,0))</f>
        <v>525.182034611167</v>
      </c>
      <c r="M20" s="20" t="n">
        <f aca="false">L20*(1-Premissas!L$17*(1+IF($B20="Churn",$C20,0)))+Premissas!L$15*(1+IF($B20="Leads",$C20,0))*Premissas!L$16*(1+IF($B20="Conversão",$C20,0))</f>
        <v>539.128029849722</v>
      </c>
      <c r="N20" s="20" t="n">
        <f aca="false">M20*(1-Premissas!M$17*(1+IF($B20="Churn",$C20,0)))+Premissas!M$15*(1+IF($B20="Leads",$C20,0))*Premissas!M$16*(1+IF($B20="Conversão",$C20,0))</f>
        <v>551.267213193028</v>
      </c>
      <c r="O20" s="20" t="n">
        <f aca="false">N20*(1-Premissas!N$17*(1+IF($B20="Churn",$C20,0)))+Premissas!N$15*(1+IF($B20="Leads",$C20,0))*Premissas!N$16*(1+IF($B20="Conversão",$C20,0))</f>
        <v>556.139334502781</v>
      </c>
      <c r="P20" s="20" t="n">
        <f aca="false">O20</f>
        <v>556.139334502781</v>
      </c>
    </row>
    <row r="21" customFormat="false" ht="15" hidden="false" customHeight="false" outlineLevel="0" collapsed="false">
      <c r="A21" s="18" t="s">
        <v>152</v>
      </c>
      <c r="B21" s="19" t="s">
        <v>151</v>
      </c>
      <c r="C21" s="46" t="n">
        <v>0</v>
      </c>
      <c r="D21" s="24" t="n">
        <f aca="false">D20*Premissas!C$18*(1+IF($B21="Ticket médio",$C21,0))*(1-Premissas!$B$6-Premissas!$B$7)-D20*Premissas!C$19*(1+IF($B21="Custo unitário",$C21,0))-Premissas!C$20*(1+IF($B21="Headcount",$C21,0))*Premissas!C$21*(1+IF($B21="Salário médio",$C21,0))*(1+Premissas!$B$8)-Custos!C21*(1+IF($B21="Despesas fixas",$C21,0))-Premissas!$B$12</f>
        <v>10610.08</v>
      </c>
      <c r="E21" s="24" t="n">
        <f aca="false">E20*Premissas!D$18*(1+IF($B21="Ticket médio",$C21,0))*(1-Premissas!$B$6-Premissas!$B$7)-E20*Premissas!D$19*(1+IF($B21="Custo unitário",$C21,0))-Premissas!D$20*(1+IF($B21="Headcount",$C21,0))*Premissas!D$21*(1+IF($B21="Salário médio",$C21,0))*(1+Premissas!$B$8)-Custos!D21*(1+IF($B21="Despesas fixas",$C21,0))-Premissas!$B$12</f>
        <v>21191.45824</v>
      </c>
      <c r="F21" s="24" t="n">
        <f aca="false">F20*Premissas!E$18*(1+IF($B21="Ticket médio",$C21,0))*(1-Premissas!$B$6-Premissas!$B$7)-F20*Premissas!E$19*(1+IF($B21="Custo unitário",$C21,0))-Premissas!E$20*(1+IF($B21="Headcount",$C21,0))*Premissas!E$21*(1+IF($B21="Salário médio",$C21,0))*(1+Premissas!$B$8)-Custos!E21*(1+IF($B21="Despesas fixas",$C21,0))-Premissas!$B$12</f>
        <v>34414.04615872</v>
      </c>
      <c r="G21" s="24" t="n">
        <f aca="false">G20*Premissas!F$18*(1+IF($B21="Ticket médio",$C21,0))*(1-Premissas!$B$6-Premissas!$B$7)-G20*Premissas!F$19*(1+IF($B21="Custo unitário",$C21,0))-Premissas!F$20*(1+IF($B21="Headcount",$C21,0))*Premissas!F$21*(1+IF($B21="Salário médio",$C21,0))*(1+Premissas!$B$8)-Custos!F21*(1+IF($B21="Despesas fixas",$C21,0))-Premissas!$B$12</f>
        <v>24287.7371432281</v>
      </c>
      <c r="H21" s="24" t="n">
        <f aca="false">H20*Premissas!G$18*(1+IF($B21="Ticket médio",$C21,0))*(1-Premissas!$B$6-Premissas!$B$7)-H20*Premissas!G$19*(1+IF($B21="Custo unitário",$C21,0))-Premissas!G$20*(1+IF($B21="Headcount",$C21,0))*Premissas!G$21*(1+IF($B21="Salário médio",$C21,0))*(1+Premissas!$B$8)-Custos!G21*(1+IF($B21="Despesas fixas",$C21,0))-Premissas!$B$12</f>
        <v>36956.0069260771</v>
      </c>
      <c r="I21" s="24" t="n">
        <f aca="false">I20*Premissas!H$18*(1+IF($B21="Ticket médio",$C21,0))*(1-Premissas!$B$6-Premissas!$B$7)-I20*Premissas!H$19*(1+IF($B21="Custo unitário",$C21,0))-Premissas!H$20*(1+IF($B21="Headcount",$C21,0))*Premissas!H$21*(1+IF($B21="Salário médio",$C21,0))*(1+Premissas!$B$8)-Custos!H21*(1+IF($B21="Despesas fixas",$C21,0))-Premissas!$B$12</f>
        <v>47429.5747737035</v>
      </c>
      <c r="J21" s="24" t="n">
        <f aca="false">J20*Premissas!I$18*(1+IF($B21="Ticket médio",$C21,0))*(1-Premissas!$B$6-Premissas!$B$7)-J20*Premissas!I$19*(1+IF($B21="Custo unitário",$C21,0))-Premissas!I$20*(1+IF($B21="Headcount",$C21,0))*Premissas!I$21*(1+IF($B21="Salário médio",$C21,0))*(1+Premissas!$B$8)-Custos!I21*(1+IF($B21="Despesas fixas",$C21,0))-Premissas!$B$12</f>
        <v>26985.7241286819</v>
      </c>
      <c r="K21" s="24" t="n">
        <f aca="false">K20*Premissas!J$18*(1+IF($B21="Ticket médio",$C21,0))*(1-Premissas!$B$6-Premissas!$B$7)-K20*Premissas!J$19*(1+IF($B21="Custo unitário",$C21,0))-Premissas!J$20*(1+IF($B21="Headcount",$C21,0))*Premissas!J$21*(1+IF($B21="Salário médio",$C21,0))*(1+Premissas!$B$8)-Custos!J21*(1+IF($B21="Despesas fixas",$C21,0))-Premissas!$B$12</f>
        <v>37993.1381978509</v>
      </c>
      <c r="L21" s="24" t="n">
        <f aca="false">L20*Premissas!K$18*(1+IF($B21="Ticket médio",$C21,0))*(1-Premissas!$B$6-Premissas!$B$7)-L20*Premissas!K$19*(1+IF($B21="Custo unitário",$C21,0))-Premissas!K$20*(1+IF($B21="Headcount",$C21,0))*Premissas!K$21*(1+IF($B21="Salário médio",$C21,0))*(1+Premissas!$B$8)-Custos!K21*(1+IF($B21="Despesas fixas",$C21,0))-Premissas!$B$12</f>
        <v>50674.3891574982</v>
      </c>
      <c r="M21" s="24" t="n">
        <f aca="false">M20*Premissas!L$18*(1+IF($B21="Ticket médio",$C21,0))*(1-Premissas!$B$6-Premissas!$B$7)-M20*Premissas!L$19*(1+IF($B21="Custo unitário",$C21,0))-Premissas!L$20*(1+IF($B21="Headcount",$C21,0))*Premissas!L$21*(1+IF($B21="Salário médio",$C21,0))*(1+Premissas!$B$8)-Custos!L21*(1+IF($B21="Despesas fixas",$C21,0))-Premissas!$B$12</f>
        <v>41934.6525960333</v>
      </c>
      <c r="N21" s="24" t="n">
        <f aca="false">N20*Premissas!M$18*(1+IF($B21="Ticket médio",$C21,0))*(1-Premissas!$B$6-Premissas!$B$7)-N20*Premissas!M$19*(1+IF($B21="Custo unitário",$C21,0))-Premissas!M$20*(1+IF($B21="Headcount",$C21,0))*Premissas!M$21*(1+IF($B21="Salário médio",$C21,0))*(1+Premissas!$B$8)-Custos!M21*(1+IF($B21="Despesas fixas",$C21,0))-Premissas!$B$12</f>
        <v>53563.9902389206</v>
      </c>
      <c r="O21" s="24" t="n">
        <f aca="false">O20*Premissas!N$18*(1+IF($B21="Ticket médio",$C21,0))*(1-Premissas!$B$6-Premissas!$B$7)-O20*Premissas!N$19*(1+IF($B21="Custo unitário",$C21,0))-Premissas!N$20*(1+IF($B21="Headcount",$C21,0))*Premissas!N$21*(1+IF($B21="Salário médio",$C21,0))*(1+Premissas!$B$8)-Custos!N21*(1+IF($B21="Despesas fixas",$C21,0))-Premissas!$B$12</f>
        <v>58231.4824536643</v>
      </c>
      <c r="P21" s="24" t="n">
        <f aca="false">SUM(D21:O21)</f>
        <v>444272.280014378</v>
      </c>
    </row>
    <row r="22" customFormat="false" ht="15" hidden="false" customHeight="false" outlineLevel="0" collapsed="false">
      <c r="A22" s="42" t="s">
        <v>153</v>
      </c>
      <c r="B22" s="13" t="s">
        <v>151</v>
      </c>
      <c r="C22" s="47" t="n">
        <v>0</v>
      </c>
      <c r="D22" s="44" t="n">
        <f aca="false">D21-MAX(0,D21)*Premissas!$B$9</f>
        <v>7002.65280000001</v>
      </c>
      <c r="E22" s="44" t="n">
        <f aca="false">E21-MAX(0,E21)*Premissas!$B$9</f>
        <v>13986.3624384</v>
      </c>
      <c r="F22" s="44" t="n">
        <f aca="false">F21-MAX(0,F21)*Premissas!$B$9</f>
        <v>22713.2704647552</v>
      </c>
      <c r="G22" s="44" t="n">
        <f aca="false">G21-MAX(0,G21)*Premissas!$B$9</f>
        <v>16029.9065145305</v>
      </c>
      <c r="H22" s="44" t="n">
        <f aca="false">H21-MAX(0,H21)*Premissas!$B$9</f>
        <v>24390.9645712109</v>
      </c>
      <c r="I22" s="44" t="n">
        <f aca="false">I21-MAX(0,I21)*Premissas!$B$9</f>
        <v>31303.5193506443</v>
      </c>
      <c r="J22" s="44" t="n">
        <f aca="false">J21-MAX(0,J21)*Premissas!$B$9</f>
        <v>17810.57792493</v>
      </c>
      <c r="K22" s="44" t="n">
        <f aca="false">K21-MAX(0,K21)*Premissas!$B$9</f>
        <v>25075.4712105816</v>
      </c>
      <c r="L22" s="44" t="n">
        <f aca="false">L21-MAX(0,L21)*Premissas!$B$9</f>
        <v>33445.0968439488</v>
      </c>
      <c r="M22" s="44" t="n">
        <f aca="false">M21-MAX(0,M21)*Premissas!$B$9</f>
        <v>27676.870713382</v>
      </c>
      <c r="N22" s="44" t="n">
        <f aca="false">N21-MAX(0,N21)*Premissas!$B$9</f>
        <v>35352.2335576876</v>
      </c>
      <c r="O22" s="44" t="n">
        <f aca="false">O21-MAX(0,O21)*Premissas!$B$9</f>
        <v>38432.7784194184</v>
      </c>
      <c r="P22" s="44" t="n">
        <f aca="false">SUM(D22:O22)</f>
        <v>293219.704809489</v>
      </c>
    </row>
    <row r="23" customFormat="false" ht="15" hidden="false" customHeight="false" outlineLevel="0" collapsed="false">
      <c r="A23" s="18" t="s">
        <v>154</v>
      </c>
      <c r="B23" s="19" t="s">
        <v>140</v>
      </c>
      <c r="C23" s="46" t="n">
        <f aca="false">-$B$3</f>
        <v>-0.1</v>
      </c>
      <c r="D23" s="20" t="n">
        <f aca="false">Premissas!$B$5*(1-Premissas!C$17*(1+IF($B23="Churn",$C23,0)))+Premissas!C$15*(1+IF($B23="Leads",$C23,0))*Premissas!C$16*(1+IF($B23="Conversão",$C23,0))</f>
        <v>427.86</v>
      </c>
      <c r="E23" s="20" t="n">
        <f aca="false">D23*(1-Premissas!D$17*(1+IF($B23="Churn",$C23,0)))+Premissas!D$15*(1+IF($B23="Leads",$C23,0))*Premissas!D$16*(1+IF($B23="Conversão",$C23,0))</f>
        <v>436.89708</v>
      </c>
      <c r="F23" s="20" t="n">
        <f aca="false">E23*(1-Premissas!E$17*(1+IF($B23="Churn",$C23,0)))+Premissas!E$15*(1+IF($B23="Leads",$C23,0))*Premissas!E$16*(1+IF($B23="Conversão",$C23,0))</f>
        <v>448.43534424</v>
      </c>
      <c r="G23" s="20" t="n">
        <f aca="false">F23*(1-Premissas!F$17*(1+IF($B23="Churn",$C23,0)))+Premissas!F$15*(1+IF($B23="Leads",$C23,0))*Premissas!F$16*(1+IF($B23="Conversão",$C23,0))</f>
        <v>458.81976666672</v>
      </c>
      <c r="H23" s="20" t="n">
        <f aca="false">G23*(1-Premissas!G$17*(1+IF($B23="Churn",$C23,0)))+Premissas!G$15*(1+IF($B23="Leads",$C23,0))*Premissas!G$16*(1+IF($B23="Conversão",$C23,0))</f>
        <v>469.875731800052</v>
      </c>
      <c r="I23" s="20" t="n">
        <f aca="false">H23*(1-Premissas!H$17*(1+IF($B23="Churn",$C23,0)))+Premissas!H$15*(1+IF($B23="Leads",$C23,0))*Premissas!H$16*(1+IF($B23="Conversão",$C23,0))</f>
        <v>478.888465700451</v>
      </c>
      <c r="J23" s="20" t="n">
        <f aca="false">I23*(1-Premissas!I$17*(1+IF($B23="Churn",$C23,0)))+Premissas!I$15*(1+IF($B23="Leads",$C23,0))*Premissas!I$16*(1+IF($B23="Conversão",$C23,0))</f>
        <v>486.352919455041</v>
      </c>
      <c r="K23" s="20" t="n">
        <f aca="false">J23*(1-Premissas!J$17*(1+IF($B23="Churn",$C23,0)))+Premissas!J$15*(1+IF($B23="Leads",$C23,0))*Premissas!J$16*(1+IF($B23="Conversão",$C23,0))</f>
        <v>495.90315522703</v>
      </c>
      <c r="L23" s="20" t="n">
        <f aca="false">K23*(1-Premissas!K$17*(1+IF($B23="Churn",$C23,0)))+Premissas!K$15*(1+IF($B23="Leads",$C23,0))*Premissas!K$16*(1+IF($B23="Conversão",$C23,0))</f>
        <v>507.043285812036</v>
      </c>
      <c r="M23" s="20" t="n">
        <f aca="false">L23*(1-Premissas!L$17*(1+IF($B23="Churn",$C23,0)))+Premissas!L$15*(1+IF($B23="Leads",$C23,0))*Premissas!L$16*(1+IF($B23="Conversão",$C23,0))</f>
        <v>518.838333524171</v>
      </c>
      <c r="N23" s="20" t="n">
        <f aca="false">M23*(1-Premissas!M$17*(1+IF($B23="Churn",$C23,0)))+Premissas!M$15*(1+IF($B23="Leads",$C23,0))*Premissas!M$16*(1+IF($B23="Conversão",$C23,0))</f>
        <v>529.023890186639</v>
      </c>
      <c r="O23" s="20" t="n">
        <f aca="false">N23*(1-Premissas!N$17*(1+IF($B23="Churn",$C23,0)))+Premissas!N$15*(1+IF($B23="Leads",$C23,0))*Premissas!N$16*(1+IF($B23="Conversão",$C23,0))</f>
        <v>532.685364602533</v>
      </c>
      <c r="P23" s="20" t="n">
        <f aca="false">O23</f>
        <v>532.685364602533</v>
      </c>
    </row>
    <row r="24" customFormat="false" ht="15" hidden="false" customHeight="false" outlineLevel="0" collapsed="false">
      <c r="A24" s="18" t="s">
        <v>155</v>
      </c>
      <c r="B24" s="19" t="s">
        <v>140</v>
      </c>
      <c r="C24" s="46" t="n">
        <f aca="false">-$B$3</f>
        <v>-0.1</v>
      </c>
      <c r="D24" s="24" t="n">
        <f aca="false">D23*Premissas!C$18*(1+IF($B24="Ticket médio",$C24,0))*(1-Premissas!$B$6-Premissas!$B$7)-D23*Premissas!C$19*(1+IF($B24="Custo unitário",$C24,0))-Premissas!C$20*(1+IF($B24="Headcount",$C24,0))*Premissas!C$21*(1+IF($B24="Salário médio",$C24,0))*(1+Premissas!$B$8)-Custos!C21*(1+IF($B24="Despesas fixas",$C24,0))-Premissas!$B$12</f>
        <v>8789.88000000001</v>
      </c>
      <c r="E24" s="24" t="n">
        <f aca="false">E23*Premissas!D$18*(1+IF($B24="Ticket médio",$C24,0))*(1-Premissas!$B$6-Premissas!$B$7)-E23*Premissas!D$19*(1+IF($B24="Custo unitário",$C24,0))-Premissas!D$20*(1+IF($B24="Headcount",$C24,0))*Premissas!D$21*(1+IF($B24="Salário médio",$C24,0))*(1+Premissas!$B$8)-Custos!D21*(1+IF($B24="Despesas fixas",$C24,0))-Premissas!$B$12</f>
        <v>17447.40264</v>
      </c>
      <c r="F24" s="24" t="n">
        <f aca="false">F23*Premissas!E$18*(1+IF($B24="Ticket médio",$C24,0))*(1-Premissas!$B$6-Premissas!$B$7)-F23*Premissas!E$19*(1+IF($B24="Custo unitário",$C24,0))-Premissas!E$20*(1+IF($B24="Headcount",$C24,0))*Premissas!E$21*(1+IF($B24="Salário médio",$C24,0))*(1+Premissas!$B$8)-Custos!E21*(1+IF($B24="Despesas fixas",$C24,0))-Premissas!$B$12</f>
        <v>28501.0597819201</v>
      </c>
      <c r="G24" s="24" t="n">
        <f aca="false">G23*Premissas!F$18*(1+IF($B24="Ticket médio",$C24,0))*(1-Premissas!$B$6-Premissas!$B$7)-G23*Premissas!F$19*(1+IF($B24="Custo unitário",$C24,0))-Premissas!F$20*(1+IF($B24="Headcount",$C24,0))*Premissas!F$21*(1+IF($B24="Salário médio",$C24,0))*(1+Premissas!$B$8)-Custos!F21*(1+IF($B24="Despesas fixas",$C24,0))-Premissas!$B$12</f>
        <v>16349.3364667178</v>
      </c>
      <c r="H24" s="24" t="n">
        <f aca="false">H23*Premissas!G$18*(1+IF($B24="Ticket médio",$C24,0))*(1-Premissas!$B$6-Premissas!$B$7)-H23*Premissas!G$19*(1+IF($B24="Custo unitário",$C24,0))-Premissas!G$20*(1+IF($B24="Headcount",$C24,0))*Premissas!G$21*(1+IF($B24="Salário médio",$C24,0))*(1+Premissas!$B$8)-Custos!G21*(1+IF($B24="Despesas fixas",$C24,0))-Premissas!$B$12</f>
        <v>26940.9510644499</v>
      </c>
      <c r="I24" s="24" t="n">
        <f aca="false">I23*Premissas!H$18*(1+IF($B24="Ticket médio",$C24,0))*(1-Premissas!$B$6-Premissas!$B$7)-I23*Premissas!H$19*(1+IF($B24="Custo unitário",$C24,0))-Premissas!H$20*(1+IF($B24="Headcount",$C24,0))*Premissas!H$21*(1+IF($B24="Salário médio",$C24,0))*(1+Premissas!$B$8)-Custos!H21*(1+IF($B24="Despesas fixas",$C24,0))-Premissas!$B$12</f>
        <v>35575.150141032</v>
      </c>
      <c r="J24" s="24" t="n">
        <f aca="false">J23*Premissas!I$18*(1+IF($B24="Ticket médio",$C24,0))*(1-Premissas!$B$6-Premissas!$B$7)-J23*Premissas!I$19*(1+IF($B24="Custo unitário",$C24,0))-Premissas!I$20*(1+IF($B24="Headcount",$C24,0))*Premissas!I$21*(1+IF($B24="Salário médio",$C24,0))*(1+Premissas!$B$8)-Custos!I21*(1+IF($B24="Despesas fixas",$C24,0))-Premissas!$B$12</f>
        <v>13476.0968379293</v>
      </c>
      <c r="K24" s="24" t="n">
        <f aca="false">K23*Premissas!J$18*(1+IF($B24="Ticket médio",$C24,0))*(1-Premissas!$B$6-Premissas!$B$7)-K23*Premissas!J$19*(1+IF($B24="Custo unitário",$C24,0))-Premissas!J$20*(1+IF($B24="Headcount",$C24,0))*Premissas!J$21*(1+IF($B24="Salário médio",$C24,0))*(1+Premissas!$B$8)-Custos!J21*(1+IF($B24="Despesas fixas",$C24,0))-Premissas!$B$12</f>
        <v>22625.2227074949</v>
      </c>
      <c r="L24" s="24" t="n">
        <f aca="false">L23*Premissas!K$18*(1+IF($B24="Ticket médio",$C24,0))*(1-Premissas!$B$6-Premissas!$B$7)-L23*Premissas!K$19*(1+IF($B24="Custo unitário",$C24,0))-Premissas!K$20*(1+IF($B24="Headcount",$C24,0))*Premissas!K$21*(1+IF($B24="Salário médio",$C24,0))*(1+Premissas!$B$8)-Custos!K21*(1+IF($B24="Despesas fixas",$C24,0))-Premissas!$B$12</f>
        <v>33297.46780793</v>
      </c>
      <c r="M24" s="24" t="n">
        <f aca="false">M23*Premissas!L$18*(1+IF($B24="Ticket médio",$C24,0))*(1-Premissas!$B$6-Premissas!$B$7)-M23*Premissas!L$19*(1+IF($B24="Custo unitário",$C24,0))-Premissas!L$20*(1+IF($B24="Headcount",$C24,0))*Premissas!L$21*(1+IF($B24="Salário médio",$C24,0))*(1+Premissas!$B$8)-Custos!L21*(1+IF($B24="Despesas fixas",$C24,0))-Premissas!$B$12</f>
        <v>22497.1235161554</v>
      </c>
      <c r="N24" s="24" t="n">
        <f aca="false">N23*Premissas!M$18*(1+IF($B24="Ticket médio",$C24,0))*(1-Premissas!$B$6-Premissas!$B$7)-N23*Premissas!M$19*(1+IF($B24="Custo unitário",$C24,0))-Premissas!M$20*(1+IF($B24="Headcount",$C24,0))*Premissas!M$21*(1+IF($B24="Salário médio",$C24,0))*(1+Premissas!$B$8)-Custos!M21*(1+IF($B24="Despesas fixas",$C24,0))-Premissas!$B$12</f>
        <v>32254.8867988001</v>
      </c>
      <c r="O24" s="24" t="n">
        <f aca="false">O23*Premissas!N$18*(1+IF($B24="Ticket médio",$C24,0))*(1-Premissas!$B$6-Premissas!$B$7)-O23*Premissas!N$19*(1+IF($B24="Custo unitário",$C24,0))-Premissas!N$20*(1+IF($B24="Headcount",$C24,0))*Premissas!N$21*(1+IF($B24="Salário médio",$C24,0))*(1+Premissas!$B$8)-Custos!N21*(1+IF($B24="Despesas fixas",$C24,0))-Premissas!$B$12</f>
        <v>35762.5792892264</v>
      </c>
      <c r="P24" s="24" t="n">
        <f aca="false">SUM(D24:O24)</f>
        <v>293517.157051656</v>
      </c>
    </row>
    <row r="25" customFormat="false" ht="15" hidden="false" customHeight="false" outlineLevel="0" collapsed="false">
      <c r="A25" s="42" t="s">
        <v>156</v>
      </c>
      <c r="B25" s="13" t="s">
        <v>140</v>
      </c>
      <c r="C25" s="47" t="n">
        <f aca="false">-$B$3</f>
        <v>-0.1</v>
      </c>
      <c r="D25" s="44" t="n">
        <f aca="false">D24-MAX(0,D24)*Premissas!$B$9</f>
        <v>5801.3208</v>
      </c>
      <c r="E25" s="44" t="n">
        <f aca="false">E24-MAX(0,E24)*Premissas!$B$9</f>
        <v>11515.2857424</v>
      </c>
      <c r="F25" s="44" t="n">
        <f aca="false">F24-MAX(0,F24)*Premissas!$B$9</f>
        <v>18810.6994560672</v>
      </c>
      <c r="G25" s="44" t="n">
        <f aca="false">G24-MAX(0,G24)*Premissas!$B$9</f>
        <v>10790.5620680337</v>
      </c>
      <c r="H25" s="44" t="n">
        <f aca="false">H24-MAX(0,H24)*Premissas!$B$9</f>
        <v>17781.0277025369</v>
      </c>
      <c r="I25" s="44" t="n">
        <f aca="false">I24-MAX(0,I24)*Premissas!$B$9</f>
        <v>23479.5990930811</v>
      </c>
      <c r="J25" s="44" t="n">
        <f aca="false">J24-MAX(0,J24)*Premissas!$B$9</f>
        <v>8894.22391303336</v>
      </c>
      <c r="K25" s="44" t="n">
        <f aca="false">K24-MAX(0,K24)*Premissas!$B$9</f>
        <v>14932.6469869466</v>
      </c>
      <c r="L25" s="44" t="n">
        <f aca="false">L24-MAX(0,L24)*Premissas!$B$9</f>
        <v>21976.3287532338</v>
      </c>
      <c r="M25" s="44" t="n">
        <f aca="false">M24-MAX(0,M24)*Premissas!$B$9</f>
        <v>14848.1015206626</v>
      </c>
      <c r="N25" s="44" t="n">
        <f aca="false">N24-MAX(0,N24)*Premissas!$B$9</f>
        <v>21288.2252872081</v>
      </c>
      <c r="O25" s="44" t="n">
        <f aca="false">O24-MAX(0,O24)*Premissas!$B$9</f>
        <v>23603.3023308894</v>
      </c>
      <c r="P25" s="44" t="n">
        <f aca="false">SUM(D25:O25)</f>
        <v>193721.323654093</v>
      </c>
    </row>
    <row r="26" customFormat="false" ht="15" hidden="false" customHeight="false" outlineLevel="0" collapsed="false">
      <c r="A26" s="18" t="s">
        <v>157</v>
      </c>
      <c r="B26" s="19" t="s">
        <v>140</v>
      </c>
      <c r="C26" s="46" t="n">
        <f aca="false">$B$3</f>
        <v>0.1</v>
      </c>
      <c r="D26" s="20" t="n">
        <f aca="false">Premissas!$B$5*(1-Premissas!C$17*(1+IF($B26="Churn",$C26,0)))+Premissas!C$15*(1+IF($B26="Leads",$C26,0))*Premissas!C$16*(1+IF($B26="Conversão",$C26,0))</f>
        <v>431.66</v>
      </c>
      <c r="E26" s="20" t="n">
        <f aca="false">D26*(1-Premissas!D$17*(1+IF($B26="Churn",$C26,0)))+Premissas!D$15*(1+IF($B26="Leads",$C26,0))*Premissas!D$16*(1+IF($B26="Conversão",$C26,0))</f>
        <v>444.71348</v>
      </c>
      <c r="F26" s="20" t="n">
        <f aca="false">E26*(1-Premissas!E$17*(1+IF($B26="Churn",$C26,0)))+Premissas!E$15*(1+IF($B26="Leads",$C26,0))*Premissas!E$16*(1+IF($B26="Conversão",$C26,0))</f>
        <v>460.77978344</v>
      </c>
      <c r="G26" s="20" t="n">
        <f aca="false">F26*(1-Premissas!F$17*(1+IF($B26="Churn",$C26,0)))+Premissas!F$15*(1+IF($B26="Leads",$C26,0))*Premissas!F$16*(1+IF($B26="Conversão",$C26,0))</f>
        <v>475.39262820432</v>
      </c>
      <c r="H26" s="20" t="n">
        <f aca="false">G26*(1-Premissas!G$17*(1+IF($B26="Churn",$C26,0)))+Premissas!G$15*(1+IF($B26="Leads",$C26,0))*Premissas!G$16*(1+IF($B26="Conversão",$C26,0))</f>
        <v>490.783990383825</v>
      </c>
      <c r="I26" s="20" t="n">
        <f aca="false">H26*(1-Premissas!H$17*(1+IF($B26="Churn",$C26,0)))+Premissas!H$15*(1+IF($B26="Leads",$C26,0))*Premissas!H$16*(1+IF($B26="Conversão",$C26,0))</f>
        <v>503.636742595381</v>
      </c>
      <c r="J26" s="20" t="n">
        <f aca="false">I26*(1-Premissas!I$17*(1+IF($B26="Churn",$C26,0)))+Premissas!I$15*(1+IF($B26="Leads",$C26,0))*Premissas!I$16*(1+IF($B26="Conversão",$C26,0))</f>
        <v>514.556734258283</v>
      </c>
      <c r="K26" s="20" t="n">
        <f aca="false">J26*(1-Premissas!J$17*(1+IF($B26="Churn",$C26,0)))+Premissas!J$15*(1+IF($B26="Leads",$C26,0))*Premissas!J$16*(1+IF($B26="Conversão",$C26,0))</f>
        <v>527.9864861046</v>
      </c>
      <c r="L26" s="20" t="n">
        <f aca="false">K26*(1-Premissas!K$17*(1+IF($B26="Churn",$C26,0)))+Premissas!K$15*(1+IF($B26="Leads",$C26,0))*Premissas!K$16*(1+IF($B26="Conversão",$C26,0))</f>
        <v>543.320783410299</v>
      </c>
      <c r="M26" s="20" t="n">
        <f aca="false">L26*(1-Premissas!L$17*(1+IF($B26="Churn",$C26,0)))+Premissas!L$15*(1+IF($B26="Leads",$C26,0))*Premissas!L$16*(1+IF($B26="Conversão",$C26,0))</f>
        <v>559.417726175273</v>
      </c>
      <c r="N26" s="20" t="n">
        <f aca="false">M26*(1-Premissas!M$17*(1+IF($B26="Churn",$C26,0)))+Premissas!M$15*(1+IF($B26="Leads",$C26,0))*Premissas!M$16*(1+IF($B26="Conversão",$C26,0))</f>
        <v>573.510536199417</v>
      </c>
      <c r="O26" s="20" t="n">
        <f aca="false">N26*(1-Premissas!N$17*(1+IF($B26="Churn",$C26,0)))+Premissas!N$15*(1+IF($B26="Leads",$C26,0))*Premissas!N$16*(1+IF($B26="Conversão",$C26,0))</f>
        <v>579.593304403029</v>
      </c>
      <c r="P26" s="20" t="n">
        <f aca="false">O26</f>
        <v>579.593304403029</v>
      </c>
    </row>
    <row r="27" customFormat="false" ht="15" hidden="false" customHeight="false" outlineLevel="0" collapsed="false">
      <c r="A27" s="18" t="s">
        <v>158</v>
      </c>
      <c r="B27" s="19" t="s">
        <v>140</v>
      </c>
      <c r="C27" s="46" t="n">
        <f aca="false">$B$3</f>
        <v>0.1</v>
      </c>
      <c r="D27" s="24" t="n">
        <f aca="false">D26*Premissas!C$18*(1+IF($B27="Ticket médio",$C27,0))*(1-Premissas!$B$6-Premissas!$B$7)-D26*Premissas!C$19*(1+IF($B27="Custo unitário",$C27,0))-Premissas!C$20*(1+IF($B27="Headcount",$C27,0))*Premissas!C$21*(1+IF($B27="Salário médio",$C27,0))*(1+Premissas!$B$8)-Custos!C21*(1+IF($B27="Despesas fixas",$C27,0))-Premissas!$B$12</f>
        <v>12430.28</v>
      </c>
      <c r="E27" s="24" t="n">
        <f aca="false">E26*Premissas!D$18*(1+IF($B27="Ticket médio",$C27,0))*(1-Premissas!$B$6-Premissas!$B$7)-E26*Premissas!D$19*(1+IF($B27="Custo unitário",$C27,0))-Premissas!D$20*(1+IF($B27="Headcount",$C27,0))*Premissas!D$21*(1+IF($B27="Salário médio",$C27,0))*(1+Premissas!$B$8)-Custos!D21*(1+IF($B27="Despesas fixas",$C27,0))-Premissas!$B$12</f>
        <v>24935.5138399999</v>
      </c>
      <c r="F27" s="24" t="n">
        <f aca="false">F26*Premissas!E$18*(1+IF($B27="Ticket médio",$C27,0))*(1-Premissas!$B$6-Premissas!$B$7)-F26*Premissas!E$19*(1+IF($B27="Custo unitário",$C27,0))-Premissas!E$20*(1+IF($B27="Headcount",$C27,0))*Premissas!E$21*(1+IF($B27="Salário médio",$C27,0))*(1+Premissas!$B$8)-Custos!E21*(1+IF($B27="Despesas fixas",$C27,0))-Premissas!$B$12</f>
        <v>40327.0325355199</v>
      </c>
      <c r="G27" s="24" t="n">
        <f aca="false">G26*Premissas!F$18*(1+IF($B27="Ticket médio",$C27,0))*(1-Premissas!$B$6-Premissas!$B$7)-G26*Premissas!F$19*(1+IF($B27="Custo unitário",$C27,0))-Premissas!F$20*(1+IF($B27="Headcount",$C27,0))*Premissas!F$21*(1+IF($B27="Salário médio",$C27,0))*(1+Premissas!$B$8)-Custos!F21*(1+IF($B27="Despesas fixas",$C27,0))-Premissas!$B$12</f>
        <v>32226.1378197385</v>
      </c>
      <c r="H27" s="24" t="n">
        <f aca="false">H26*Premissas!G$18*(1+IF($B27="Ticket médio",$C27,0))*(1-Premissas!$B$6-Premissas!$B$7)-H26*Premissas!G$19*(1+IF($B27="Custo unitário",$C27,0))-Premissas!G$20*(1+IF($B27="Headcount",$C27,0))*Premissas!G$21*(1+IF($B27="Salário médio",$C27,0))*(1+Premissas!$B$8)-Custos!G21*(1+IF($B27="Despesas fixas",$C27,0))-Premissas!$B$12</f>
        <v>46971.0627877043</v>
      </c>
      <c r="I27" s="24" t="n">
        <f aca="false">I26*Premissas!H$18*(1+IF($B27="Ticket médio",$C27,0))*(1-Premissas!$B$6-Premissas!$B$7)-I26*Premissas!H$19*(1+IF($B27="Custo unitário",$C27,0))-Premissas!H$20*(1+IF($B27="Headcount",$C27,0))*Premissas!H$21*(1+IF($B27="Salário médio",$C27,0))*(1+Premissas!$B$8)-Custos!H21*(1+IF($B27="Despesas fixas",$C27,0))-Premissas!$B$12</f>
        <v>59283.9994063748</v>
      </c>
      <c r="J27" s="24" t="n">
        <f aca="false">J26*Premissas!I$18*(1+IF($B27="Ticket médio",$C27,0))*(1-Premissas!$B$6-Premissas!$B$7)-J26*Premissas!I$19*(1+IF($B27="Custo unitário",$C27,0))-Premissas!I$20*(1+IF($B27="Headcount",$C27,0))*Premissas!I$21*(1+IF($B27="Salário médio",$C27,0))*(1+Premissas!$B$8)-Custos!I21*(1+IF($B27="Despesas fixas",$C27,0))-Premissas!$B$12</f>
        <v>40495.3514194347</v>
      </c>
      <c r="K27" s="24" t="n">
        <f aca="false">K26*Premissas!J$18*(1+IF($B27="Ticket médio",$C27,0))*(1-Premissas!$B$6-Premissas!$B$7)-K26*Premissas!J$19*(1+IF($B27="Custo unitário",$C27,0))-Premissas!J$20*(1+IF($B27="Headcount",$C27,0))*Premissas!J$21*(1+IF($B27="Salário médio",$C27,0))*(1+Premissas!$B$8)-Custos!J21*(1+IF($B27="Despesas fixas",$C27,0))-Premissas!$B$12</f>
        <v>53361.0536882071</v>
      </c>
      <c r="L27" s="24" t="n">
        <f aca="false">L26*Premissas!K$18*(1+IF($B27="Ticket médio",$C27,0))*(1-Premissas!$B$6-Premissas!$B$7)-L26*Premissas!K$19*(1+IF($B27="Custo unitário",$C27,0))-Premissas!K$20*(1+IF($B27="Headcount",$C27,0))*Premissas!K$21*(1+IF($B27="Salário médio",$C27,0))*(1+Premissas!$B$8)-Custos!K21*(1+IF($B27="Despesas fixas",$C27,0))-Premissas!$B$12</f>
        <v>68051.3105070666</v>
      </c>
      <c r="M27" s="24" t="n">
        <f aca="false">M26*Premissas!L$18*(1+IF($B27="Ticket médio",$C27,0))*(1-Premissas!$B$6-Premissas!$B$7)-M26*Premissas!L$19*(1+IF($B27="Custo unitário",$C27,0))-Premissas!L$20*(1+IF($B27="Headcount",$C27,0))*Premissas!L$21*(1+IF($B27="Salário médio",$C27,0))*(1+Premissas!$B$8)-Custos!L21*(1+IF($B27="Despesas fixas",$C27,0))-Premissas!$B$12</f>
        <v>61372.1816759111</v>
      </c>
      <c r="N27" s="24" t="n">
        <f aca="false">N26*Premissas!M$18*(1+IF($B27="Ticket médio",$C27,0))*(1-Premissas!$B$6-Premissas!$B$7)-N26*Premissas!M$19*(1+IF($B27="Custo unitário",$C27,0))-Premissas!M$20*(1+IF($B27="Headcount",$C27,0))*Premissas!M$21*(1+IF($B27="Salário médio",$C27,0))*(1+Premissas!$B$8)-Custos!M21*(1+IF($B27="Despesas fixas",$C27,0))-Premissas!$B$12</f>
        <v>74873.093679041</v>
      </c>
      <c r="O27" s="24" t="n">
        <f aca="false">O26*Premissas!N$18*(1+IF($B27="Ticket médio",$C27,0))*(1-Premissas!$B$6-Premissas!$B$7)-O26*Premissas!N$19*(1+IF($B27="Custo unitário",$C27,0))-Premissas!N$20*(1+IF($B27="Headcount",$C27,0))*Premissas!N$21*(1+IF($B27="Salário médio",$C27,0))*(1+Premissas!$B$8)-Custos!N21*(1+IF($B27="Despesas fixas",$C27,0))-Premissas!$B$12</f>
        <v>80700.3856181022</v>
      </c>
      <c r="P27" s="24" t="n">
        <f aca="false">SUM(D27:O27)</f>
        <v>595027.4029771</v>
      </c>
    </row>
    <row r="28" customFormat="false" ht="15" hidden="false" customHeight="false" outlineLevel="0" collapsed="false">
      <c r="A28" s="42" t="s">
        <v>159</v>
      </c>
      <c r="B28" s="13" t="s">
        <v>140</v>
      </c>
      <c r="C28" s="47" t="n">
        <f aca="false">$B$3</f>
        <v>0.1</v>
      </c>
      <c r="D28" s="44" t="n">
        <f aca="false">D27-MAX(0,D27)*Premissas!$B$9</f>
        <v>8203.98480000002</v>
      </c>
      <c r="E28" s="44" t="n">
        <f aca="false">E27-MAX(0,E27)*Premissas!$B$9</f>
        <v>16457.4391343999</v>
      </c>
      <c r="F28" s="44" t="n">
        <f aca="false">F27-MAX(0,F27)*Premissas!$B$9</f>
        <v>26615.8414734431</v>
      </c>
      <c r="G28" s="44" t="n">
        <f aca="false">G27-MAX(0,G27)*Premissas!$B$9</f>
        <v>21269.2509610274</v>
      </c>
      <c r="H28" s="44" t="n">
        <f aca="false">H27-MAX(0,H27)*Premissas!$B$9</f>
        <v>31000.9014398849</v>
      </c>
      <c r="I28" s="44" t="n">
        <f aca="false">I27-MAX(0,I27)*Premissas!$B$9</f>
        <v>39127.4396082073</v>
      </c>
      <c r="J28" s="44" t="n">
        <f aca="false">J27-MAX(0,J27)*Premissas!$B$9</f>
        <v>26726.9319368269</v>
      </c>
      <c r="K28" s="44" t="n">
        <f aca="false">K27-MAX(0,K27)*Premissas!$B$9</f>
        <v>35218.2954342167</v>
      </c>
      <c r="L28" s="44" t="n">
        <f aca="false">L27-MAX(0,L27)*Premissas!$B$9</f>
        <v>44913.8649346639</v>
      </c>
      <c r="M28" s="44" t="n">
        <f aca="false">M27-MAX(0,M27)*Premissas!$B$9</f>
        <v>40505.6399061013</v>
      </c>
      <c r="N28" s="44" t="n">
        <f aca="false">N27-MAX(0,N27)*Premissas!$B$9</f>
        <v>49416.2418281671</v>
      </c>
      <c r="O28" s="44" t="n">
        <f aca="false">O27-MAX(0,O27)*Premissas!$B$9</f>
        <v>53262.2545079474</v>
      </c>
      <c r="P28" s="44" t="n">
        <f aca="false">SUM(D28:O28)</f>
        <v>392718.085964886</v>
      </c>
    </row>
    <row r="29" customFormat="false" ht="15" hidden="false" customHeight="false" outlineLevel="0" collapsed="false">
      <c r="A29" s="18" t="s">
        <v>160</v>
      </c>
      <c r="B29" s="19" t="s">
        <v>141</v>
      </c>
      <c r="C29" s="46" t="n">
        <f aca="false">-$B$3</f>
        <v>-0.1</v>
      </c>
      <c r="D29" s="20" t="n">
        <f aca="false">Premissas!$B$5*(1-Premissas!C$17*(1+IF($B29="Churn",$C29,0)))+Premissas!C$15*(1+IF($B29="Leads",$C29,0))*Premissas!C$16*(1+IF($B29="Conversão",$C29,0))</f>
        <v>427.86</v>
      </c>
      <c r="E29" s="20" t="n">
        <f aca="false">D29*(1-Premissas!D$17*(1+IF($B29="Churn",$C29,0)))+Premissas!D$15*(1+IF($B29="Leads",$C29,0))*Premissas!D$16*(1+IF($B29="Conversão",$C29,0))</f>
        <v>436.89708</v>
      </c>
      <c r="F29" s="20" t="n">
        <f aca="false">E29*(1-Premissas!E$17*(1+IF($B29="Churn",$C29,0)))+Premissas!E$15*(1+IF($B29="Leads",$C29,0))*Premissas!E$16*(1+IF($B29="Conversão",$C29,0))</f>
        <v>448.43534424</v>
      </c>
      <c r="G29" s="20" t="n">
        <f aca="false">F29*(1-Premissas!F$17*(1+IF($B29="Churn",$C29,0)))+Premissas!F$15*(1+IF($B29="Leads",$C29,0))*Premissas!F$16*(1+IF($B29="Conversão",$C29,0))</f>
        <v>458.81976666672</v>
      </c>
      <c r="H29" s="20" t="n">
        <f aca="false">G29*(1-Premissas!G$17*(1+IF($B29="Churn",$C29,0)))+Premissas!G$15*(1+IF($B29="Leads",$C29,0))*Premissas!G$16*(1+IF($B29="Conversão",$C29,0))</f>
        <v>469.875731800052</v>
      </c>
      <c r="I29" s="20" t="n">
        <f aca="false">H29*(1-Premissas!H$17*(1+IF($B29="Churn",$C29,0)))+Premissas!H$15*(1+IF($B29="Leads",$C29,0))*Premissas!H$16*(1+IF($B29="Conversão",$C29,0))</f>
        <v>478.888465700451</v>
      </c>
      <c r="J29" s="20" t="n">
        <f aca="false">I29*(1-Premissas!I$17*(1+IF($B29="Churn",$C29,0)))+Premissas!I$15*(1+IF($B29="Leads",$C29,0))*Premissas!I$16*(1+IF($B29="Conversão",$C29,0))</f>
        <v>486.352919455041</v>
      </c>
      <c r="K29" s="20" t="n">
        <f aca="false">J29*(1-Premissas!J$17*(1+IF($B29="Churn",$C29,0)))+Premissas!J$15*(1+IF($B29="Leads",$C29,0))*Premissas!J$16*(1+IF($B29="Conversão",$C29,0))</f>
        <v>495.90315522703</v>
      </c>
      <c r="L29" s="20" t="n">
        <f aca="false">K29*(1-Premissas!K$17*(1+IF($B29="Churn",$C29,0)))+Premissas!K$15*(1+IF($B29="Leads",$C29,0))*Premissas!K$16*(1+IF($B29="Conversão",$C29,0))</f>
        <v>507.043285812036</v>
      </c>
      <c r="M29" s="20" t="n">
        <f aca="false">L29*(1-Premissas!L$17*(1+IF($B29="Churn",$C29,0)))+Premissas!L$15*(1+IF($B29="Leads",$C29,0))*Premissas!L$16*(1+IF($B29="Conversão",$C29,0))</f>
        <v>518.838333524171</v>
      </c>
      <c r="N29" s="20" t="n">
        <f aca="false">M29*(1-Premissas!M$17*(1+IF($B29="Churn",$C29,0)))+Premissas!M$15*(1+IF($B29="Leads",$C29,0))*Premissas!M$16*(1+IF($B29="Conversão",$C29,0))</f>
        <v>529.023890186639</v>
      </c>
      <c r="O29" s="20" t="n">
        <f aca="false">N29*(1-Premissas!N$17*(1+IF($B29="Churn",$C29,0)))+Premissas!N$15*(1+IF($B29="Leads",$C29,0))*Premissas!N$16*(1+IF($B29="Conversão",$C29,0))</f>
        <v>532.685364602533</v>
      </c>
      <c r="P29" s="20" t="n">
        <f aca="false">O29</f>
        <v>532.685364602533</v>
      </c>
    </row>
    <row r="30" customFormat="false" ht="15" hidden="false" customHeight="false" outlineLevel="0" collapsed="false">
      <c r="A30" s="18" t="s">
        <v>161</v>
      </c>
      <c r="B30" s="19" t="s">
        <v>141</v>
      </c>
      <c r="C30" s="46" t="n">
        <f aca="false">-$B$3</f>
        <v>-0.1</v>
      </c>
      <c r="D30" s="24" t="n">
        <f aca="false">D29*Premissas!C$18*(1+IF($B30="Ticket médio",$C30,0))*(1-Premissas!$B$6-Premissas!$B$7)-D29*Premissas!C$19*(1+IF($B30="Custo unitário",$C30,0))-Premissas!C$20*(1+IF($B30="Headcount",$C30,0))*Premissas!C$21*(1+IF($B30="Salário médio",$C30,0))*(1+Premissas!$B$8)-Custos!C21*(1+IF($B30="Despesas fixas",$C30,0))-Premissas!$B$12</f>
        <v>8789.88000000001</v>
      </c>
      <c r="E30" s="24" t="n">
        <f aca="false">E29*Premissas!D$18*(1+IF($B30="Ticket médio",$C30,0))*(1-Premissas!$B$6-Premissas!$B$7)-E29*Premissas!D$19*(1+IF($B30="Custo unitário",$C30,0))-Premissas!D$20*(1+IF($B30="Headcount",$C30,0))*Premissas!D$21*(1+IF($B30="Salário médio",$C30,0))*(1+Premissas!$B$8)-Custos!D21*(1+IF($B30="Despesas fixas",$C30,0))-Premissas!$B$12</f>
        <v>17447.40264</v>
      </c>
      <c r="F30" s="24" t="n">
        <f aca="false">F29*Premissas!E$18*(1+IF($B30="Ticket médio",$C30,0))*(1-Premissas!$B$6-Premissas!$B$7)-F29*Premissas!E$19*(1+IF($B30="Custo unitário",$C30,0))-Premissas!E$20*(1+IF($B30="Headcount",$C30,0))*Premissas!E$21*(1+IF($B30="Salário médio",$C30,0))*(1+Premissas!$B$8)-Custos!E21*(1+IF($B30="Despesas fixas",$C30,0))-Premissas!$B$12</f>
        <v>28501.0597819201</v>
      </c>
      <c r="G30" s="24" t="n">
        <f aca="false">G29*Premissas!F$18*(1+IF($B30="Ticket médio",$C30,0))*(1-Premissas!$B$6-Premissas!$B$7)-G29*Premissas!F$19*(1+IF($B30="Custo unitário",$C30,0))-Premissas!F$20*(1+IF($B30="Headcount",$C30,0))*Premissas!F$21*(1+IF($B30="Salário médio",$C30,0))*(1+Premissas!$B$8)-Custos!F21*(1+IF($B30="Despesas fixas",$C30,0))-Premissas!$B$12</f>
        <v>16349.3364667178</v>
      </c>
      <c r="H30" s="24" t="n">
        <f aca="false">H29*Premissas!G$18*(1+IF($B30="Ticket médio",$C30,0))*(1-Premissas!$B$6-Premissas!$B$7)-H29*Premissas!G$19*(1+IF($B30="Custo unitário",$C30,0))-Premissas!G$20*(1+IF($B30="Headcount",$C30,0))*Premissas!G$21*(1+IF($B30="Salário médio",$C30,0))*(1+Premissas!$B$8)-Custos!G21*(1+IF($B30="Despesas fixas",$C30,0))-Premissas!$B$12</f>
        <v>26940.9510644499</v>
      </c>
      <c r="I30" s="24" t="n">
        <f aca="false">I29*Premissas!H$18*(1+IF($B30="Ticket médio",$C30,0))*(1-Premissas!$B$6-Premissas!$B$7)-I29*Premissas!H$19*(1+IF($B30="Custo unitário",$C30,0))-Premissas!H$20*(1+IF($B30="Headcount",$C30,0))*Premissas!H$21*(1+IF($B30="Salário médio",$C30,0))*(1+Premissas!$B$8)-Custos!H21*(1+IF($B30="Despesas fixas",$C30,0))-Premissas!$B$12</f>
        <v>35575.150141032</v>
      </c>
      <c r="J30" s="24" t="n">
        <f aca="false">J29*Premissas!I$18*(1+IF($B30="Ticket médio",$C30,0))*(1-Premissas!$B$6-Premissas!$B$7)-J29*Premissas!I$19*(1+IF($B30="Custo unitário",$C30,0))-Premissas!I$20*(1+IF($B30="Headcount",$C30,0))*Premissas!I$21*(1+IF($B30="Salário médio",$C30,0))*(1+Premissas!$B$8)-Custos!I21*(1+IF($B30="Despesas fixas",$C30,0))-Premissas!$B$12</f>
        <v>13476.0968379293</v>
      </c>
      <c r="K30" s="24" t="n">
        <f aca="false">K29*Premissas!J$18*(1+IF($B30="Ticket médio",$C30,0))*(1-Premissas!$B$6-Premissas!$B$7)-K29*Premissas!J$19*(1+IF($B30="Custo unitário",$C30,0))-Premissas!J$20*(1+IF($B30="Headcount",$C30,0))*Premissas!J$21*(1+IF($B30="Salário médio",$C30,0))*(1+Premissas!$B$8)-Custos!J21*(1+IF($B30="Despesas fixas",$C30,0))-Premissas!$B$12</f>
        <v>22625.2227074949</v>
      </c>
      <c r="L30" s="24" t="n">
        <f aca="false">L29*Premissas!K$18*(1+IF($B30="Ticket médio",$C30,0))*(1-Premissas!$B$6-Premissas!$B$7)-L29*Premissas!K$19*(1+IF($B30="Custo unitário",$C30,0))-Premissas!K$20*(1+IF($B30="Headcount",$C30,0))*Premissas!K$21*(1+IF($B30="Salário médio",$C30,0))*(1+Premissas!$B$8)-Custos!K21*(1+IF($B30="Despesas fixas",$C30,0))-Premissas!$B$12</f>
        <v>33297.46780793</v>
      </c>
      <c r="M30" s="24" t="n">
        <f aca="false">M29*Premissas!L$18*(1+IF($B30="Ticket médio",$C30,0))*(1-Premissas!$B$6-Premissas!$B$7)-M29*Premissas!L$19*(1+IF($B30="Custo unitário",$C30,0))-Premissas!L$20*(1+IF($B30="Headcount",$C30,0))*Premissas!L$21*(1+IF($B30="Salário médio",$C30,0))*(1+Premissas!$B$8)-Custos!L21*(1+IF($B30="Despesas fixas",$C30,0))-Premissas!$B$12</f>
        <v>22497.1235161554</v>
      </c>
      <c r="N30" s="24" t="n">
        <f aca="false">N29*Premissas!M$18*(1+IF($B30="Ticket médio",$C30,0))*(1-Premissas!$B$6-Premissas!$B$7)-N29*Premissas!M$19*(1+IF($B30="Custo unitário",$C30,0))-Premissas!M$20*(1+IF($B30="Headcount",$C30,0))*Premissas!M$21*(1+IF($B30="Salário médio",$C30,0))*(1+Premissas!$B$8)-Custos!M21*(1+IF($B30="Despesas fixas",$C30,0))-Premissas!$B$12</f>
        <v>32254.8867988001</v>
      </c>
      <c r="O30" s="24" t="n">
        <f aca="false">O29*Premissas!N$18*(1+IF($B30="Ticket médio",$C30,0))*(1-Premissas!$B$6-Premissas!$B$7)-O29*Premissas!N$19*(1+IF($B30="Custo unitário",$C30,0))-Premissas!N$20*(1+IF($B30="Headcount",$C30,0))*Premissas!N$21*(1+IF($B30="Salário médio",$C30,0))*(1+Premissas!$B$8)-Custos!N21*(1+IF($B30="Despesas fixas",$C30,0))-Premissas!$B$12</f>
        <v>35762.5792892264</v>
      </c>
      <c r="P30" s="24" t="n">
        <f aca="false">SUM(D30:O30)</f>
        <v>293517.157051656</v>
      </c>
    </row>
    <row r="31" customFormat="false" ht="15" hidden="false" customHeight="false" outlineLevel="0" collapsed="false">
      <c r="A31" s="42" t="s">
        <v>162</v>
      </c>
      <c r="B31" s="13" t="s">
        <v>141</v>
      </c>
      <c r="C31" s="47" t="n">
        <f aca="false">-$B$3</f>
        <v>-0.1</v>
      </c>
      <c r="D31" s="44" t="n">
        <f aca="false">D30-MAX(0,D30)*Premissas!$B$9</f>
        <v>5801.3208</v>
      </c>
      <c r="E31" s="44" t="n">
        <f aca="false">E30-MAX(0,E30)*Premissas!$B$9</f>
        <v>11515.2857424</v>
      </c>
      <c r="F31" s="44" t="n">
        <f aca="false">F30-MAX(0,F30)*Premissas!$B$9</f>
        <v>18810.6994560672</v>
      </c>
      <c r="G31" s="44" t="n">
        <f aca="false">G30-MAX(0,G30)*Premissas!$B$9</f>
        <v>10790.5620680337</v>
      </c>
      <c r="H31" s="44" t="n">
        <f aca="false">H30-MAX(0,H30)*Premissas!$B$9</f>
        <v>17781.0277025369</v>
      </c>
      <c r="I31" s="44" t="n">
        <f aca="false">I30-MAX(0,I30)*Premissas!$B$9</f>
        <v>23479.5990930811</v>
      </c>
      <c r="J31" s="44" t="n">
        <f aca="false">J30-MAX(0,J30)*Premissas!$B$9</f>
        <v>8894.22391303336</v>
      </c>
      <c r="K31" s="44" t="n">
        <f aca="false">K30-MAX(0,K30)*Premissas!$B$9</f>
        <v>14932.6469869466</v>
      </c>
      <c r="L31" s="44" t="n">
        <f aca="false">L30-MAX(0,L30)*Premissas!$B$9</f>
        <v>21976.3287532338</v>
      </c>
      <c r="M31" s="44" t="n">
        <f aca="false">M30-MAX(0,M30)*Premissas!$B$9</f>
        <v>14848.1015206626</v>
      </c>
      <c r="N31" s="44" t="n">
        <f aca="false">N30-MAX(0,N30)*Premissas!$B$9</f>
        <v>21288.2252872081</v>
      </c>
      <c r="O31" s="44" t="n">
        <f aca="false">O30-MAX(0,O30)*Premissas!$B$9</f>
        <v>23603.3023308894</v>
      </c>
      <c r="P31" s="44" t="n">
        <f aca="false">SUM(D31:O31)</f>
        <v>193721.323654093</v>
      </c>
    </row>
    <row r="32" customFormat="false" ht="15" hidden="false" customHeight="false" outlineLevel="0" collapsed="false">
      <c r="A32" s="18" t="s">
        <v>163</v>
      </c>
      <c r="B32" s="19" t="s">
        <v>141</v>
      </c>
      <c r="C32" s="46" t="n">
        <f aca="false">$B$3</f>
        <v>0.1</v>
      </c>
      <c r="D32" s="20" t="n">
        <f aca="false">Premissas!$B$5*(1-Premissas!C$17*(1+IF($B32="Churn",$C32,0)))+Premissas!C$15*(1+IF($B32="Leads",$C32,0))*Premissas!C$16*(1+IF($B32="Conversão",$C32,0))</f>
        <v>431.66</v>
      </c>
      <c r="E32" s="20" t="n">
        <f aca="false">D32*(1-Premissas!D$17*(1+IF($B32="Churn",$C32,0)))+Premissas!D$15*(1+IF($B32="Leads",$C32,0))*Premissas!D$16*(1+IF($B32="Conversão",$C32,0))</f>
        <v>444.71348</v>
      </c>
      <c r="F32" s="20" t="n">
        <f aca="false">E32*(1-Premissas!E$17*(1+IF($B32="Churn",$C32,0)))+Premissas!E$15*(1+IF($B32="Leads",$C32,0))*Premissas!E$16*(1+IF($B32="Conversão",$C32,0))</f>
        <v>460.77978344</v>
      </c>
      <c r="G32" s="20" t="n">
        <f aca="false">F32*(1-Premissas!F$17*(1+IF($B32="Churn",$C32,0)))+Premissas!F$15*(1+IF($B32="Leads",$C32,0))*Premissas!F$16*(1+IF($B32="Conversão",$C32,0))</f>
        <v>475.39262820432</v>
      </c>
      <c r="H32" s="20" t="n">
        <f aca="false">G32*(1-Premissas!G$17*(1+IF($B32="Churn",$C32,0)))+Premissas!G$15*(1+IF($B32="Leads",$C32,0))*Premissas!G$16*(1+IF($B32="Conversão",$C32,0))</f>
        <v>490.783990383825</v>
      </c>
      <c r="I32" s="20" t="n">
        <f aca="false">H32*(1-Premissas!H$17*(1+IF($B32="Churn",$C32,0)))+Premissas!H$15*(1+IF($B32="Leads",$C32,0))*Premissas!H$16*(1+IF($B32="Conversão",$C32,0))</f>
        <v>503.636742595381</v>
      </c>
      <c r="J32" s="20" t="n">
        <f aca="false">I32*(1-Premissas!I$17*(1+IF($B32="Churn",$C32,0)))+Premissas!I$15*(1+IF($B32="Leads",$C32,0))*Premissas!I$16*(1+IF($B32="Conversão",$C32,0))</f>
        <v>514.556734258282</v>
      </c>
      <c r="K32" s="20" t="n">
        <f aca="false">J32*(1-Premissas!J$17*(1+IF($B32="Churn",$C32,0)))+Premissas!J$15*(1+IF($B32="Leads",$C32,0))*Premissas!J$16*(1+IF($B32="Conversão",$C32,0))</f>
        <v>527.9864861046</v>
      </c>
      <c r="L32" s="20" t="n">
        <f aca="false">K32*(1-Premissas!K$17*(1+IF($B32="Churn",$C32,0)))+Premissas!K$15*(1+IF($B32="Leads",$C32,0))*Premissas!K$16*(1+IF($B32="Conversão",$C32,0))</f>
        <v>543.320783410299</v>
      </c>
      <c r="M32" s="20" t="n">
        <f aca="false">L32*(1-Premissas!L$17*(1+IF($B32="Churn",$C32,0)))+Premissas!L$15*(1+IF($B32="Leads",$C32,0))*Premissas!L$16*(1+IF($B32="Conversão",$C32,0))</f>
        <v>559.417726175272</v>
      </c>
      <c r="N32" s="20" t="n">
        <f aca="false">M32*(1-Premissas!M$17*(1+IF($B32="Churn",$C32,0)))+Premissas!M$15*(1+IF($B32="Leads",$C32,0))*Premissas!M$16*(1+IF($B32="Conversão",$C32,0))</f>
        <v>573.510536199416</v>
      </c>
      <c r="O32" s="20" t="n">
        <f aca="false">N32*(1-Premissas!N$17*(1+IF($B32="Churn",$C32,0)))+Premissas!N$15*(1+IF($B32="Leads",$C32,0))*Premissas!N$16*(1+IF($B32="Conversão",$C32,0))</f>
        <v>579.593304403029</v>
      </c>
      <c r="P32" s="20" t="n">
        <f aca="false">O32</f>
        <v>579.593304403029</v>
      </c>
    </row>
    <row r="33" customFormat="false" ht="15" hidden="false" customHeight="false" outlineLevel="0" collapsed="false">
      <c r="A33" s="18" t="s">
        <v>164</v>
      </c>
      <c r="B33" s="19" t="s">
        <v>141</v>
      </c>
      <c r="C33" s="46" t="n">
        <f aca="false">$B$3</f>
        <v>0.1</v>
      </c>
      <c r="D33" s="24" t="n">
        <f aca="false">D32*Premissas!C$18*(1+IF($B33="Ticket médio",$C33,0))*(1-Premissas!$B$6-Premissas!$B$7)-D32*Premissas!C$19*(1+IF($B33="Custo unitário",$C33,0))-Premissas!C$20*(1+IF($B33="Headcount",$C33,0))*Premissas!C$21*(1+IF($B33="Salário médio",$C33,0))*(1+Premissas!$B$8)-Custos!C21*(1+IF($B33="Despesas fixas",$C33,0))-Premissas!$B$12</f>
        <v>12430.28</v>
      </c>
      <c r="E33" s="24" t="n">
        <f aca="false">E32*Premissas!D$18*(1+IF($B33="Ticket médio",$C33,0))*(1-Premissas!$B$6-Premissas!$B$7)-E32*Premissas!D$19*(1+IF($B33="Custo unitário",$C33,0))-Premissas!D$20*(1+IF($B33="Headcount",$C33,0))*Premissas!D$21*(1+IF($B33="Salário médio",$C33,0))*(1+Premissas!$B$8)-Custos!D21*(1+IF($B33="Despesas fixas",$C33,0))-Premissas!$B$12</f>
        <v>24935.5138399999</v>
      </c>
      <c r="F33" s="24" t="n">
        <f aca="false">F32*Premissas!E$18*(1+IF($B33="Ticket médio",$C33,0))*(1-Premissas!$B$6-Premissas!$B$7)-F32*Premissas!E$19*(1+IF($B33="Custo unitário",$C33,0))-Premissas!E$20*(1+IF($B33="Headcount",$C33,0))*Premissas!E$21*(1+IF($B33="Salário médio",$C33,0))*(1+Premissas!$B$8)-Custos!E21*(1+IF($B33="Despesas fixas",$C33,0))-Premissas!$B$12</f>
        <v>40327.0325355199</v>
      </c>
      <c r="G33" s="24" t="n">
        <f aca="false">G32*Premissas!F$18*(1+IF($B33="Ticket médio",$C33,0))*(1-Premissas!$B$6-Premissas!$B$7)-G32*Premissas!F$19*(1+IF($B33="Custo unitário",$C33,0))-Premissas!F$20*(1+IF($B33="Headcount",$C33,0))*Premissas!F$21*(1+IF($B33="Salário médio",$C33,0))*(1+Premissas!$B$8)-Custos!F21*(1+IF($B33="Despesas fixas",$C33,0))-Premissas!$B$12</f>
        <v>32226.1378197385</v>
      </c>
      <c r="H33" s="24" t="n">
        <f aca="false">H32*Premissas!G$18*(1+IF($B33="Ticket médio",$C33,0))*(1-Premissas!$B$6-Premissas!$B$7)-H32*Premissas!G$19*(1+IF($B33="Custo unitário",$C33,0))-Premissas!G$20*(1+IF($B33="Headcount",$C33,0))*Premissas!G$21*(1+IF($B33="Salário médio",$C33,0))*(1+Premissas!$B$8)-Custos!G21*(1+IF($B33="Despesas fixas",$C33,0))-Premissas!$B$12</f>
        <v>46971.0627877043</v>
      </c>
      <c r="I33" s="24" t="n">
        <f aca="false">I32*Premissas!H$18*(1+IF($B33="Ticket médio",$C33,0))*(1-Premissas!$B$6-Premissas!$B$7)-I32*Premissas!H$19*(1+IF($B33="Custo unitário",$C33,0))-Premissas!H$20*(1+IF($B33="Headcount",$C33,0))*Premissas!H$21*(1+IF($B33="Salário médio",$C33,0))*(1+Premissas!$B$8)-Custos!H21*(1+IF($B33="Despesas fixas",$C33,0))-Premissas!$B$12</f>
        <v>59283.9994063748</v>
      </c>
      <c r="J33" s="24" t="n">
        <f aca="false">J32*Premissas!I$18*(1+IF($B33="Ticket médio",$C33,0))*(1-Premissas!$B$6-Premissas!$B$7)-J32*Premissas!I$19*(1+IF($B33="Custo unitário",$C33,0))-Premissas!I$20*(1+IF($B33="Headcount",$C33,0))*Premissas!I$21*(1+IF($B33="Salário médio",$C33,0))*(1+Premissas!$B$8)-Custos!I21*(1+IF($B33="Despesas fixas",$C33,0))-Premissas!$B$12</f>
        <v>40495.3514194346</v>
      </c>
      <c r="K33" s="24" t="n">
        <f aca="false">K32*Premissas!J$18*(1+IF($B33="Ticket médio",$C33,0))*(1-Premissas!$B$6-Premissas!$B$7)-K32*Premissas!J$19*(1+IF($B33="Custo unitário",$C33,0))-Premissas!J$20*(1+IF($B33="Headcount",$C33,0))*Premissas!J$21*(1+IF($B33="Salário médio",$C33,0))*(1+Premissas!$B$8)-Custos!J21*(1+IF($B33="Despesas fixas",$C33,0))-Premissas!$B$12</f>
        <v>53361.0536882069</v>
      </c>
      <c r="L33" s="24" t="n">
        <f aca="false">L32*Premissas!K$18*(1+IF($B33="Ticket médio",$C33,0))*(1-Premissas!$B$6-Premissas!$B$7)-L32*Premissas!K$19*(1+IF($B33="Custo unitário",$C33,0))-Premissas!K$20*(1+IF($B33="Headcount",$C33,0))*Premissas!K$21*(1+IF($B33="Salário médio",$C33,0))*(1+Premissas!$B$8)-Custos!K21*(1+IF($B33="Despesas fixas",$C33,0))-Premissas!$B$12</f>
        <v>68051.3105070664</v>
      </c>
      <c r="M33" s="24" t="n">
        <f aca="false">M32*Premissas!L$18*(1+IF($B33="Ticket médio",$C33,0))*(1-Premissas!$B$6-Premissas!$B$7)-M32*Premissas!L$19*(1+IF($B33="Custo unitário",$C33,0))-Premissas!L$20*(1+IF($B33="Headcount",$C33,0))*Premissas!L$21*(1+IF($B33="Salário médio",$C33,0))*(1+Premissas!$B$8)-Custos!L21*(1+IF($B33="Despesas fixas",$C33,0))-Premissas!$B$12</f>
        <v>61372.181675911</v>
      </c>
      <c r="N33" s="24" t="n">
        <f aca="false">N32*Premissas!M$18*(1+IF($B33="Ticket médio",$C33,0))*(1-Premissas!$B$6-Premissas!$B$7)-N32*Premissas!M$19*(1+IF($B33="Custo unitário",$C33,0))-Premissas!M$20*(1+IF($B33="Headcount",$C33,0))*Premissas!M$21*(1+IF($B33="Salário médio",$C33,0))*(1+Premissas!$B$8)-Custos!M21*(1+IF($B33="Despesas fixas",$C33,0))-Premissas!$B$12</f>
        <v>74873.0936790409</v>
      </c>
      <c r="O33" s="24" t="n">
        <f aca="false">O32*Premissas!N$18*(1+IF($B33="Ticket médio",$C33,0))*(1-Premissas!$B$6-Premissas!$B$7)-O32*Premissas!N$19*(1+IF($B33="Custo unitário",$C33,0))-Premissas!N$20*(1+IF($B33="Headcount",$C33,0))*Premissas!N$21*(1+IF($B33="Salário médio",$C33,0))*(1+Premissas!$B$8)-Custos!N21*(1+IF($B33="Despesas fixas",$C33,0))-Premissas!$B$12</f>
        <v>80700.385618102</v>
      </c>
      <c r="P33" s="24" t="n">
        <f aca="false">SUM(D33:O33)</f>
        <v>595027.402977099</v>
      </c>
    </row>
    <row r="34" customFormat="false" ht="15" hidden="false" customHeight="false" outlineLevel="0" collapsed="false">
      <c r="A34" s="42" t="s">
        <v>165</v>
      </c>
      <c r="B34" s="13" t="s">
        <v>141</v>
      </c>
      <c r="C34" s="47" t="n">
        <f aca="false">$B$3</f>
        <v>0.1</v>
      </c>
      <c r="D34" s="44" t="n">
        <f aca="false">D33-MAX(0,D33)*Premissas!$B$9</f>
        <v>8203.98480000002</v>
      </c>
      <c r="E34" s="44" t="n">
        <f aca="false">E33-MAX(0,E33)*Premissas!$B$9</f>
        <v>16457.4391343999</v>
      </c>
      <c r="F34" s="44" t="n">
        <f aca="false">F33-MAX(0,F33)*Premissas!$B$9</f>
        <v>26615.8414734431</v>
      </c>
      <c r="G34" s="44" t="n">
        <f aca="false">G33-MAX(0,G33)*Premissas!$B$9</f>
        <v>21269.2509610274</v>
      </c>
      <c r="H34" s="44" t="n">
        <f aca="false">H33-MAX(0,H33)*Premissas!$B$9</f>
        <v>31000.9014398849</v>
      </c>
      <c r="I34" s="44" t="n">
        <f aca="false">I33-MAX(0,I33)*Premissas!$B$9</f>
        <v>39127.4396082073</v>
      </c>
      <c r="J34" s="44" t="n">
        <f aca="false">J33-MAX(0,J33)*Premissas!$B$9</f>
        <v>26726.9319368268</v>
      </c>
      <c r="K34" s="44" t="n">
        <f aca="false">K33-MAX(0,K33)*Premissas!$B$9</f>
        <v>35218.2954342166</v>
      </c>
      <c r="L34" s="44" t="n">
        <f aca="false">L33-MAX(0,L33)*Premissas!$B$9</f>
        <v>44913.8649346638</v>
      </c>
      <c r="M34" s="44" t="n">
        <f aca="false">M33-MAX(0,M33)*Premissas!$B$9</f>
        <v>40505.6399061012</v>
      </c>
      <c r="N34" s="44" t="n">
        <f aca="false">N33-MAX(0,N33)*Premissas!$B$9</f>
        <v>49416.241828167</v>
      </c>
      <c r="O34" s="44" t="n">
        <f aca="false">O33-MAX(0,O33)*Premissas!$B$9</f>
        <v>53262.2545079473</v>
      </c>
      <c r="P34" s="44" t="n">
        <f aca="false">SUM(D34:O34)</f>
        <v>392718.085964886</v>
      </c>
    </row>
    <row r="35" customFormat="false" ht="15" hidden="false" customHeight="false" outlineLevel="0" collapsed="false">
      <c r="A35" s="18" t="s">
        <v>166</v>
      </c>
      <c r="B35" s="19" t="s">
        <v>142</v>
      </c>
      <c r="C35" s="46" t="n">
        <f aca="false">-$B$3</f>
        <v>-0.1</v>
      </c>
      <c r="D35" s="20" t="n">
        <f aca="false">Premissas!$B$5*(1-Premissas!C$17*(1+IF($B35="Churn",$C35,0)))+Premissas!C$15*(1+IF($B35="Leads",$C35,0))*Premissas!C$16*(1+IF($B35="Conversão",$C35,0))</f>
        <v>430.684</v>
      </c>
      <c r="E35" s="20" t="n">
        <f aca="false">D35*(1-Premissas!D$17*(1+IF($B35="Churn",$C35,0)))+Premissas!D$15*(1+IF($B35="Leads",$C35,0))*Premissas!D$16*(1+IF($B35="Conversão",$C35,0))</f>
        <v>442.6564568</v>
      </c>
      <c r="F35" s="20" t="n">
        <f aca="false">E35*(1-Premissas!E$17*(1+IF($B35="Churn",$C35,0)))+Premissas!E$15*(1+IF($B35="Leads",$C35,0))*Premissas!E$16*(1+IF($B35="Conversão",$C35,0))</f>
        <v>457.39185895536</v>
      </c>
      <c r="G35" s="20" t="n">
        <f aca="false">F35*(1-Premissas!F$17*(1+IF($B35="Churn",$C35,0)))+Premissas!F$15*(1+IF($B35="Leads",$C35,0))*Premissas!F$16*(1+IF($B35="Conversão",$C35,0))</f>
        <v>470.835500148044</v>
      </c>
      <c r="H35" s="20" t="n">
        <f aca="false">G35*(1-Premissas!G$17*(1+IF($B35="Churn",$C35,0)))+Premissas!G$15*(1+IF($B35="Leads",$C35,0))*Premissas!G$16*(1+IF($B35="Conversão",$C35,0))</f>
        <v>485.012957245113</v>
      </c>
      <c r="I35" s="20" t="n">
        <f aca="false">H35*(1-Premissas!H$17*(1+IF($B35="Churn",$C35,0)))+Premissas!H$15*(1+IF($B35="Leads",$C35,0))*Premissas!H$16*(1+IF($B35="Conversão",$C35,0))</f>
        <v>496.909700691659</v>
      </c>
      <c r="J35" s="20" t="n">
        <f aca="false">I35*(1-Premissas!I$17*(1+IF($B35="Churn",$C35,0)))+Premissas!I$15*(1+IF($B35="Leads",$C35,0))*Premissas!I$16*(1+IF($B35="Conversão",$C35,0))</f>
        <v>507.070888617964</v>
      </c>
      <c r="K35" s="20" t="n">
        <f aca="false">J35*(1-Premissas!J$17*(1+IF($B35="Churn",$C35,0)))+Premissas!J$15*(1+IF($B35="Leads",$C35,0))*Premissas!J$16*(1+IF($B35="Conversão",$C35,0))</f>
        <v>519.530885023329</v>
      </c>
      <c r="L35" s="20" t="n">
        <f aca="false">K35*(1-Premissas!K$17*(1+IF($B35="Churn",$C35,0)))+Premissas!K$15*(1+IF($B35="Leads",$C35,0))*Premissas!K$16*(1+IF($B35="Conversão",$C35,0))</f>
        <v>533.744173499867</v>
      </c>
      <c r="M35" s="20" t="n">
        <f aca="false">L35*(1-Premissas!L$17*(1+IF($B35="Churn",$C35,0)))+Premissas!L$15*(1+IF($B35="Leads",$C35,0))*Premissas!L$16*(1+IF($B35="Conversão",$C35,0))</f>
        <v>548.676038864569</v>
      </c>
      <c r="N35" s="20" t="n">
        <f aca="false">M35*(1-Premissas!M$17*(1+IF($B35="Churn",$C35,0)))+Premissas!M$15*(1+IF($B35="Leads",$C35,0))*Premissas!M$16*(1+IF($B35="Conversão",$C35,0))</f>
        <v>561.812253295051</v>
      </c>
      <c r="O35" s="20" t="n">
        <f aca="false">N35*(1-Premissas!N$17*(1+IF($B35="Churn",$C35,0)))+Premissas!N$15*(1+IF($B35="Leads",$C35,0))*Premissas!N$16*(1+IF($B35="Conversão",$C35,0))</f>
        <v>567.688370679809</v>
      </c>
      <c r="P35" s="20" t="n">
        <f aca="false">O35</f>
        <v>567.688370679809</v>
      </c>
    </row>
    <row r="36" customFormat="false" ht="15" hidden="false" customHeight="false" outlineLevel="0" collapsed="false">
      <c r="A36" s="18" t="s">
        <v>167</v>
      </c>
      <c r="B36" s="19" t="s">
        <v>142</v>
      </c>
      <c r="C36" s="46" t="n">
        <f aca="false">-$B$3</f>
        <v>-0.1</v>
      </c>
      <c r="D36" s="24" t="n">
        <f aca="false">D35*Premissas!C$18*(1+IF($B36="Ticket médio",$C36,0))*(1-Premissas!$B$6-Premissas!$B$7)-D35*Premissas!C$19*(1+IF($B36="Custo unitário",$C36,0))-Premissas!C$20*(1+IF($B36="Headcount",$C36,0))*Premissas!C$21*(1+IF($B36="Salário médio",$C36,0))*(1+Premissas!$B$8)-Custos!C21*(1+IF($B36="Despesas fixas",$C36,0))-Premissas!$B$12</f>
        <v>11495.272</v>
      </c>
      <c r="E36" s="24" t="n">
        <f aca="false">E35*Premissas!D$18*(1+IF($B36="Ticket médio",$C36,0))*(1-Premissas!$B$6-Premissas!$B$7)-E35*Premissas!D$19*(1+IF($B36="Custo unitário",$C36,0))-Premissas!D$20*(1+IF($B36="Headcount",$C36,0))*Premissas!D$21*(1+IF($B36="Salário médio",$C36,0))*(1+Premissas!$B$8)-Custos!D21*(1+IF($B36="Despesas fixas",$C36,0))-Premissas!$B$12</f>
        <v>22964.8856143999</v>
      </c>
      <c r="F36" s="24" t="n">
        <f aca="false">F35*Premissas!E$18*(1+IF($B36="Ticket médio",$C36,0))*(1-Premissas!$B$6-Premissas!$B$7)-F35*Premissas!E$19*(1+IF($B36="Custo unitário",$C36,0))-Premissas!E$20*(1+IF($B36="Headcount",$C36,0))*Premissas!E$21*(1+IF($B36="Salário médio",$C36,0))*(1+Premissas!$B$8)-Custos!E21*(1+IF($B36="Despesas fixas",$C36,0))-Premissas!$B$12</f>
        <v>37081.4008792348</v>
      </c>
      <c r="G36" s="24" t="n">
        <f aca="false">G35*Premissas!F$18*(1+IF($B36="Ticket médio",$C36,0))*(1-Premissas!$B$6-Premissas!$B$7)-G35*Premissas!F$19*(1+IF($B36="Custo unitário",$C36,0))-Premissas!F$20*(1+IF($B36="Headcount",$C36,0))*Premissas!F$21*(1+IF($B36="Salário médio",$C36,0))*(1+Premissas!$B$8)-Custos!F21*(1+IF($B36="Despesas fixas",$C36,0))-Premissas!$B$12</f>
        <v>27860.4091418259</v>
      </c>
      <c r="H36" s="24" t="n">
        <f aca="false">H35*Premissas!G$18*(1+IF($B36="Ticket médio",$C36,0))*(1-Premissas!$B$6-Premissas!$B$7)-H35*Premissas!G$19*(1+IF($B36="Custo unitário",$C36,0))-Premissas!G$20*(1+IF($B36="Headcount",$C36,0))*Premissas!G$21*(1+IF($B36="Salário médio",$C36,0))*(1+Premissas!$B$8)-Custos!G21*(1+IF($B36="Despesas fixas",$C36,0))-Premissas!$B$12</f>
        <v>41442.4130408178</v>
      </c>
      <c r="I36" s="24" t="n">
        <f aca="false">I35*Premissas!H$18*(1+IF($B36="Ticket médio",$C36,0))*(1-Premissas!$B$6-Premissas!$B$7)-I35*Premissas!H$19*(1+IF($B36="Custo unitário",$C36,0))-Premissas!H$20*(1+IF($B36="Headcount",$C36,0))*Premissas!H$21*(1+IF($B36="Salário médio",$C36,0))*(1+Premissas!$B$8)-Custos!H21*(1+IF($B36="Despesas fixas",$C36,0))-Premissas!$B$12</f>
        <v>52839.4932626095</v>
      </c>
      <c r="J36" s="24" t="n">
        <f aca="false">J35*Premissas!I$18*(1+IF($B36="Ticket médio",$C36,0))*(1-Premissas!$B$6-Premissas!$B$7)-J35*Premissas!I$19*(1+IF($B36="Custo unitário",$C36,0))-Premissas!I$20*(1+IF($B36="Headcount",$C36,0))*Premissas!I$21*(1+IF($B36="Salário médio",$C36,0))*(1+Premissas!$B$8)-Custos!I21*(1+IF($B36="Despesas fixas",$C36,0))-Premissas!$B$12</f>
        <v>33323.9112960098</v>
      </c>
      <c r="K36" s="24" t="n">
        <f aca="false">K35*Premissas!J$18*(1+IF($B36="Ticket médio",$C36,0))*(1-Premissas!$B$6-Premissas!$B$7)-K35*Premissas!J$19*(1+IF($B36="Custo unitário",$C36,0))-Premissas!J$20*(1+IF($B36="Headcount",$C36,0))*Premissas!J$21*(1+IF($B36="Salário médio",$C36,0))*(1+Premissas!$B$8)-Custos!J21*(1+IF($B36="Despesas fixas",$C36,0))-Premissas!$B$12</f>
        <v>45260.5878523488</v>
      </c>
      <c r="L36" s="24" t="n">
        <f aca="false">L35*Premissas!K$18*(1+IF($B36="Ticket médio",$C36,0))*(1-Premissas!$B$6-Premissas!$B$7)-L35*Premissas!K$19*(1+IF($B36="Custo unitário",$C36,0))-Premissas!K$20*(1+IF($B36="Headcount",$C36,0))*Premissas!K$21*(1+IF($B36="Salário médio",$C36,0))*(1+Premissas!$B$8)-Custos!K21*(1+IF($B36="Despesas fixas",$C36,0))-Premissas!$B$12</f>
        <v>58876.9182128724</v>
      </c>
      <c r="M36" s="24" t="n">
        <f aca="false">M35*Premissas!L$18*(1+IF($B36="Ticket médio",$C36,0))*(1-Premissas!$B$6-Premissas!$B$7)-M35*Premissas!L$19*(1+IF($B36="Custo unitário",$C36,0))-Premissas!L$20*(1+IF($B36="Headcount",$C36,0))*Premissas!L$21*(1+IF($B36="Salário médio",$C36,0))*(1+Premissas!$B$8)-Custos!L21*(1+IF($B36="Despesas fixas",$C36,0))-Premissas!$B$12</f>
        <v>51081.6452322574</v>
      </c>
      <c r="N36" s="24" t="n">
        <f aca="false">N35*Premissas!M$18*(1+IF($B36="Ticket médio",$C36,0))*(1-Premissas!$B$6-Premissas!$B$7)-N35*Premissas!M$19*(1+IF($B36="Custo unitário",$C36,0))-Premissas!M$20*(1+IF($B36="Headcount",$C36,0))*Premissas!M$21*(1+IF($B36="Salário médio",$C36,0))*(1+Premissas!$B$8)-Custos!M21*(1+IF($B36="Despesas fixas",$C36,0))-Premissas!$B$12</f>
        <v>63666.1386566586</v>
      </c>
      <c r="O36" s="24" t="n">
        <f aca="false">O35*Premissas!N$18*(1+IF($B36="Ticket médio",$C36,0))*(1-Premissas!$B$6-Premissas!$B$7)-O35*Premissas!N$19*(1+IF($B36="Custo unitário",$C36,0))-Premissas!N$20*(1+IF($B36="Headcount",$C36,0))*Premissas!N$21*(1+IF($B36="Salário médio",$C36,0))*(1+Premissas!$B$8)-Custos!N21*(1+IF($B36="Despesas fixas",$C36,0))-Premissas!$B$12</f>
        <v>69295.4591112569</v>
      </c>
      <c r="P36" s="24" t="n">
        <f aca="false">SUM(D36:O36)</f>
        <v>515188.534300292</v>
      </c>
    </row>
    <row r="37" customFormat="false" ht="15" hidden="false" customHeight="false" outlineLevel="0" collapsed="false">
      <c r="A37" s="42" t="s">
        <v>168</v>
      </c>
      <c r="B37" s="13" t="s">
        <v>142</v>
      </c>
      <c r="C37" s="47" t="n">
        <f aca="false">-$B$3</f>
        <v>-0.1</v>
      </c>
      <c r="D37" s="44" t="n">
        <f aca="false">D36-MAX(0,D36)*Premissas!$B$9</f>
        <v>7586.87952</v>
      </c>
      <c r="E37" s="44" t="n">
        <f aca="false">E36-MAX(0,E36)*Premissas!$B$9</f>
        <v>15156.8245055039</v>
      </c>
      <c r="F37" s="44" t="n">
        <f aca="false">F36-MAX(0,F36)*Premissas!$B$9</f>
        <v>24473.7245802949</v>
      </c>
      <c r="G37" s="44" t="n">
        <f aca="false">G36-MAX(0,G36)*Premissas!$B$9</f>
        <v>18387.8700336051</v>
      </c>
      <c r="H37" s="44" t="n">
        <f aca="false">H36-MAX(0,H36)*Premissas!$B$9</f>
        <v>27351.9926069398</v>
      </c>
      <c r="I37" s="44" t="n">
        <f aca="false">I36-MAX(0,I36)*Premissas!$B$9</f>
        <v>34874.0655533222</v>
      </c>
      <c r="J37" s="44" t="n">
        <f aca="false">J36-MAX(0,J36)*Premissas!$B$9</f>
        <v>21993.7814553665</v>
      </c>
      <c r="K37" s="44" t="n">
        <f aca="false">K36-MAX(0,K36)*Premissas!$B$9</f>
        <v>29871.9879825502</v>
      </c>
      <c r="L37" s="44" t="n">
        <f aca="false">L36-MAX(0,L36)*Premissas!$B$9</f>
        <v>38858.7660204958</v>
      </c>
      <c r="M37" s="44" t="n">
        <f aca="false">M36-MAX(0,M36)*Premissas!$B$9</f>
        <v>33713.8858532899</v>
      </c>
      <c r="N37" s="44" t="n">
        <f aca="false">N36-MAX(0,N36)*Premissas!$B$9</f>
        <v>42019.6515133947</v>
      </c>
      <c r="O37" s="44" t="n">
        <f aca="false">O36-MAX(0,O36)*Premissas!$B$9</f>
        <v>45735.0030134295</v>
      </c>
      <c r="P37" s="44" t="n">
        <f aca="false">SUM(D37:O37)</f>
        <v>340024.432638193</v>
      </c>
    </row>
    <row r="38" customFormat="false" ht="15" hidden="false" customHeight="false" outlineLevel="0" collapsed="false">
      <c r="A38" s="18" t="s">
        <v>169</v>
      </c>
      <c r="B38" s="19" t="s">
        <v>142</v>
      </c>
      <c r="C38" s="46" t="n">
        <f aca="false">$B$3</f>
        <v>0.1</v>
      </c>
      <c r="D38" s="20" t="n">
        <f aca="false">Premissas!$B$5*(1-Premissas!C$17*(1+IF($B38="Churn",$C38,0)))+Premissas!C$15*(1+IF($B38="Leads",$C38,0))*Premissas!C$16*(1+IF($B38="Conversão",$C38,0))</f>
        <v>428.836</v>
      </c>
      <c r="E38" s="20" t="n">
        <f aca="false">D38*(1-Premissas!D$17*(1+IF($B38="Churn",$C38,0)))+Premissas!D$15*(1+IF($B38="Leads",$C38,0))*Premissas!D$16*(1+IF($B38="Conversão",$C38,0))</f>
        <v>438.9581688</v>
      </c>
      <c r="F38" s="20" t="n">
        <f aca="false">E38*(1-Premissas!E$17*(1+IF($B38="Churn",$C38,0)))+Premissas!E$15*(1+IF($B38="Leads",$C38,0))*Premissas!E$16*(1+IF($B38="Conversão",$C38,0))</f>
        <v>451.83538111504</v>
      </c>
      <c r="G38" s="20" t="n">
        <f aca="false">F38*(1-Premissas!F$17*(1+IF($B38="Churn",$C38,0)))+Premissas!F$15*(1+IF($B38="Leads",$C38,0))*Premissas!F$16*(1+IF($B38="Conversão",$C38,0))</f>
        <v>463.400964892056</v>
      </c>
      <c r="H38" s="20" t="n">
        <f aca="false">G38*(1-Premissas!G$17*(1+IF($B38="Churn",$C38,0)))+Premissas!G$15*(1+IF($B38="Leads",$C38,0))*Premissas!G$16*(1+IF($B38="Conversão",$C38,0))</f>
        <v>475.686661541668</v>
      </c>
      <c r="I38" s="20" t="n">
        <f aca="false">H38*(1-Premissas!H$17*(1+IF($B38="Churn",$C38,0)))+Premissas!H$15*(1+IF($B38="Leads",$C38,0))*Premissas!H$16*(1+IF($B38="Conversão",$C38,0))</f>
        <v>485.67504433236</v>
      </c>
      <c r="J38" s="20" t="n">
        <f aca="false">I38*(1-Premissas!I$17*(1+IF($B38="Churn",$C38,0)))+Premissas!I$15*(1+IF($B38="Leads",$C38,0))*Premissas!I$16*(1+IF($B38="Conversão",$C38,0))</f>
        <v>493.921708259517</v>
      </c>
      <c r="K38" s="20" t="n">
        <f aca="false">J38*(1-Premissas!J$17*(1+IF($B38="Churn",$C38,0)))+Premissas!J$15*(1+IF($B38="Leads",$C38,0))*Premissas!J$16*(1+IF($B38="Conversão",$C38,0))</f>
        <v>504.468802919637</v>
      </c>
      <c r="L38" s="20" t="n">
        <f aca="false">K38*(1-Premissas!K$17*(1+IF($B38="Churn",$C38,0)))+Premissas!K$15*(1+IF($B38="Leads",$C38,0))*Premissas!K$16*(1+IF($B38="Conversão",$C38,0))</f>
        <v>516.760657888981</v>
      </c>
      <c r="M38" s="20" t="n">
        <f aca="false">L38*(1-Premissas!L$17*(1+IF($B38="Churn",$C38,0)))+Premissas!L$15*(1+IF($B38="Leads",$C38,0))*Premissas!L$16*(1+IF($B38="Conversão",$C38,0))</f>
        <v>529.755049968068</v>
      </c>
      <c r="N38" s="20" t="n">
        <f aca="false">M38*(1-Premissas!M$17*(1+IF($B38="Churn",$C38,0)))+Premissas!M$15*(1+IF($B38="Leads",$C38,0))*Premissas!M$16*(1+IF($B38="Conversão",$C38,0))</f>
        <v>540.934977758841</v>
      </c>
      <c r="O38" s="20" t="n">
        <f aca="false">N38*(1-Premissas!N$17*(1+IF($B38="Churn",$C38,0)))+Premissas!N$15*(1+IF($B38="Leads",$C38,0))*Premissas!N$16*(1+IF($B38="Conversão",$C38,0))</f>
        <v>544.844351297077</v>
      </c>
      <c r="P38" s="20" t="n">
        <f aca="false">O38</f>
        <v>544.844351297077</v>
      </c>
    </row>
    <row r="39" customFormat="false" ht="15" hidden="false" customHeight="false" outlineLevel="0" collapsed="false">
      <c r="A39" s="18" t="s">
        <v>170</v>
      </c>
      <c r="B39" s="19" t="s">
        <v>142</v>
      </c>
      <c r="C39" s="46" t="n">
        <f aca="false">$B$3</f>
        <v>0.1</v>
      </c>
      <c r="D39" s="24" t="n">
        <f aca="false">D38*Premissas!C$18*(1+IF($B39="Ticket médio",$C39,0))*(1-Premissas!$B$6-Premissas!$B$7)-D38*Premissas!C$19*(1+IF($B39="Custo unitário",$C39,0))-Premissas!C$20*(1+IF($B39="Headcount",$C39,0))*Premissas!C$21*(1+IF($B39="Salário médio",$C39,0))*(1+Premissas!$B$8)-Custos!C21*(1+IF($B39="Despesas fixas",$C39,0))-Premissas!$B$12</f>
        <v>9724.88800000004</v>
      </c>
      <c r="E39" s="24" t="n">
        <f aca="false">E38*Premissas!D$18*(1+IF($B39="Ticket médio",$C39,0))*(1-Premissas!$B$6-Premissas!$B$7)-E38*Premissas!D$19*(1+IF($B39="Custo unitário",$C39,0))-Premissas!D$20*(1+IF($B39="Headcount",$C39,0))*Premissas!D$21*(1+IF($B39="Salário médio",$C39,0))*(1+Premissas!$B$8)-Custos!D21*(1+IF($B39="Despesas fixas",$C39,0))-Premissas!$B$12</f>
        <v>19421.9257104</v>
      </c>
      <c r="F39" s="24" t="n">
        <f aca="false">F38*Premissas!E$18*(1+IF($B39="Ticket médio",$C39,0))*(1-Premissas!$B$6-Premissas!$B$7)-F38*Premissas!E$19*(1+IF($B39="Custo unitário",$C39,0))-Premissas!E$20*(1+IF($B39="Headcount",$C39,0))*Premissas!E$21*(1+IF($B39="Salário médio",$C39,0))*(1+Premissas!$B$8)-Custos!E21*(1+IF($B39="Despesas fixas",$C39,0))-Premissas!$B$12</f>
        <v>31758.2951082084</v>
      </c>
      <c r="G39" s="24" t="n">
        <f aca="false">G38*Premissas!F$18*(1+IF($B39="Ticket médio",$C39,0))*(1-Premissas!$B$6-Premissas!$B$7)-G38*Premissas!F$19*(1+IF($B39="Custo unitário",$C39,0))-Premissas!F$20*(1+IF($B39="Headcount",$C39,0))*Premissas!F$21*(1+IF($B39="Salário médio",$C39,0))*(1+Premissas!$B$8)-Custos!F21*(1+IF($B39="Despesas fixas",$C39,0))-Premissas!$B$12</f>
        <v>20738.1243665897</v>
      </c>
      <c r="H39" s="24" t="n">
        <f aca="false">H38*Premissas!G$18*(1+IF($B39="Ticket médio",$C39,0))*(1-Premissas!$B$6-Premissas!$B$7)-H38*Premissas!G$19*(1+IF($B39="Custo unitário",$C39,0))-Premissas!G$20*(1+IF($B39="Headcount",$C39,0))*Premissas!G$21*(1+IF($B39="Salário médio",$C39,0))*(1+Premissas!$B$8)-Custos!G21*(1+IF($B39="Despesas fixas",$C39,0))-Premissas!$B$12</f>
        <v>32507.8217569182</v>
      </c>
      <c r="I39" s="24" t="n">
        <f aca="false">I38*Premissas!H$18*(1+IF($B39="Ticket médio",$C39,0))*(1-Premissas!$B$6-Premissas!$B$7)-I38*Premissas!H$19*(1+IF($B39="Custo unitário",$C39,0))-Premissas!H$20*(1+IF($B39="Headcount",$C39,0))*Premissas!H$21*(1+IF($B39="Salário médio",$C39,0))*(1+Premissas!$B$8)-Custos!H21*(1+IF($B39="Despesas fixas",$C39,0))-Premissas!$B$12</f>
        <v>42076.6924704008</v>
      </c>
      <c r="J39" s="24" t="n">
        <f aca="false">J38*Premissas!I$18*(1+IF($B39="Ticket médio",$C39,0))*(1-Premissas!$B$6-Premissas!$B$7)-J38*Premissas!I$19*(1+IF($B39="Custo unitário",$C39,0))-Premissas!I$20*(1+IF($B39="Headcount",$C39,0))*Premissas!I$21*(1+IF($B39="Salário médio",$C39,0))*(1+Premissas!$B$8)-Custos!I21*(1+IF($B39="Despesas fixas",$C39,0))-Premissas!$B$12</f>
        <v>20726.9965126172</v>
      </c>
      <c r="K39" s="24" t="n">
        <f aca="false">K38*Premissas!J$18*(1+IF($B39="Ticket médio",$C39,0))*(1-Premissas!$B$6-Premissas!$B$7)-K38*Premissas!J$19*(1+IF($B39="Custo unitário",$C39,0))-Premissas!J$20*(1+IF($B39="Headcount",$C39,0))*Premissas!J$21*(1+IF($B39="Salário médio",$C39,0))*(1+Premissas!$B$8)-Custos!J21*(1+IF($B39="Despesas fixas",$C39,0))-Premissas!$B$12</f>
        <v>30831.1131970119</v>
      </c>
      <c r="L39" s="24" t="n">
        <f aca="false">L38*Premissas!K$18*(1+IF($B39="Ticket médio",$C39,0))*(1-Premissas!$B$6-Premissas!$B$7)-L38*Premissas!K$19*(1+IF($B39="Custo unitário",$C39,0))-Premissas!K$20*(1+IF($B39="Headcount",$C39,0))*Premissas!K$21*(1+IF($B39="Salário médio",$C39,0))*(1+Premissas!$B$8)-Custos!K21*(1+IF($B39="Despesas fixas",$C39,0))-Premissas!$B$12</f>
        <v>42606.7102576441</v>
      </c>
      <c r="M39" s="24" t="n">
        <f aca="false">M38*Premissas!L$18*(1+IF($B39="Ticket médio",$C39,0))*(1-Premissas!$B$6-Premissas!$B$7)-M38*Premissas!L$19*(1+IF($B39="Custo unitário",$C39,0))-Premissas!L$20*(1+IF($B39="Headcount",$C39,0))*Premissas!L$21*(1+IF($B39="Salário médio",$C39,0))*(1+Premissas!$B$8)-Custos!L21*(1+IF($B39="Despesas fixas",$C39,0))-Premissas!$B$12</f>
        <v>32955.337869409</v>
      </c>
      <c r="N39" s="24" t="n">
        <f aca="false">N38*Premissas!M$18*(1+IF($B39="Ticket médio",$C39,0))*(1-Premissas!$B$6-Premissas!$B$7)-N38*Premissas!M$19*(1+IF($B39="Custo unitário",$C39,0))-Premissas!M$20*(1+IF($B39="Headcount",$C39,0))*Premissas!M$21*(1+IF($B39="Salário médio",$C39,0))*(1+Premissas!$B$8)-Custos!M21*(1+IF($B39="Despesas fixas",$C39,0))-Premissas!$B$12</f>
        <v>43665.7086929695</v>
      </c>
      <c r="O39" s="24" t="n">
        <f aca="false">O38*Premissas!N$18*(1+IF($B39="Ticket médio",$C39,0))*(1-Premissas!$B$6-Premissas!$B$7)-O38*Premissas!N$19*(1+IF($B39="Custo unitário",$C39,0))-Premissas!N$20*(1+IF($B39="Headcount",$C39,0))*Premissas!N$21*(1+IF($B39="Salário médio",$C39,0))*(1+Premissas!$B$8)-Custos!N21*(1+IF($B39="Despesas fixas",$C39,0))-Premissas!$B$12</f>
        <v>47410.8885425996</v>
      </c>
      <c r="P39" s="24" t="n">
        <f aca="false">SUM(D39:O39)</f>
        <v>374424.502484768</v>
      </c>
    </row>
    <row r="40" customFormat="false" ht="15" hidden="false" customHeight="false" outlineLevel="0" collapsed="false">
      <c r="A40" s="42" t="s">
        <v>171</v>
      </c>
      <c r="B40" s="13" t="s">
        <v>142</v>
      </c>
      <c r="C40" s="47" t="n">
        <f aca="false">$B$3</f>
        <v>0.1</v>
      </c>
      <c r="D40" s="44" t="n">
        <f aca="false">D39-MAX(0,D39)*Premissas!$B$9</f>
        <v>6418.42608000002</v>
      </c>
      <c r="E40" s="44" t="n">
        <f aca="false">E39-MAX(0,E39)*Premissas!$B$9</f>
        <v>12818.470968864</v>
      </c>
      <c r="F40" s="44" t="n">
        <f aca="false">F39-MAX(0,F39)*Premissas!$B$9</f>
        <v>20960.4747714175</v>
      </c>
      <c r="G40" s="44" t="n">
        <f aca="false">G39-MAX(0,G39)*Premissas!$B$9</f>
        <v>13687.1620819492</v>
      </c>
      <c r="H40" s="44" t="n">
        <f aca="false">H39-MAX(0,H39)*Premissas!$B$9</f>
        <v>21455.162359566</v>
      </c>
      <c r="I40" s="44" t="n">
        <f aca="false">I39-MAX(0,I39)*Premissas!$B$9</f>
        <v>27770.6170304645</v>
      </c>
      <c r="J40" s="44" t="n">
        <f aca="false">J39-MAX(0,J39)*Premissas!$B$9</f>
        <v>13679.8176983273</v>
      </c>
      <c r="K40" s="44" t="n">
        <f aca="false">K39-MAX(0,K39)*Premissas!$B$9</f>
        <v>20348.5347100278</v>
      </c>
      <c r="L40" s="44" t="n">
        <f aca="false">L39-MAX(0,L39)*Premissas!$B$9</f>
        <v>28120.4287700451</v>
      </c>
      <c r="M40" s="44" t="n">
        <f aca="false">M39-MAX(0,M39)*Premissas!$B$9</f>
        <v>21750.5229938099</v>
      </c>
      <c r="N40" s="44" t="n">
        <f aca="false">N39-MAX(0,N39)*Premissas!$B$9</f>
        <v>28819.3677373598</v>
      </c>
      <c r="O40" s="44" t="n">
        <f aca="false">O39-MAX(0,O39)*Premissas!$B$9</f>
        <v>31291.1864381158</v>
      </c>
      <c r="P40" s="44" t="n">
        <f aca="false">SUM(D40:O40)</f>
        <v>247120.171639947</v>
      </c>
    </row>
    <row r="41" customFormat="false" ht="15" hidden="false" customHeight="false" outlineLevel="0" collapsed="false">
      <c r="A41" s="18" t="s">
        <v>172</v>
      </c>
      <c r="B41" s="19" t="s">
        <v>143</v>
      </c>
      <c r="C41" s="46" t="n">
        <f aca="false">-$B$3</f>
        <v>-0.1</v>
      </c>
      <c r="D41" s="20" t="n">
        <f aca="false">Premissas!$B$5*(1-Premissas!C$17*(1+IF($B41="Churn",$C41,0)))+Premissas!C$15*(1+IF($B41="Leads",$C41,0))*Premissas!C$16*(1+IF($B41="Conversão",$C41,0))</f>
        <v>429.76</v>
      </c>
      <c r="E41" s="20" t="n">
        <f aca="false">D41*(1-Premissas!D$17*(1+IF($B41="Churn",$C41,0)))+Premissas!D$15*(1+IF($B41="Leads",$C41,0))*Premissas!D$16*(1+IF($B41="Conversão",$C41,0))</f>
        <v>440.80528</v>
      </c>
      <c r="F41" s="20" t="n">
        <f aca="false">E41*(1-Premissas!E$17*(1+IF($B41="Churn",$C41,0)))+Premissas!E$15*(1+IF($B41="Leads",$C41,0))*Premissas!E$16*(1+IF($B41="Conversão",$C41,0))</f>
        <v>454.60756384</v>
      </c>
      <c r="G41" s="20" t="n">
        <f aca="false">F41*(1-Premissas!F$17*(1+IF($B41="Churn",$C41,0)))+Premissas!F$15*(1+IF($B41="Leads",$C41,0))*Premissas!F$16*(1+IF($B41="Conversão",$C41,0))</f>
        <v>467.10619743552</v>
      </c>
      <c r="H41" s="20" t="n">
        <f aca="false">G41*(1-Premissas!G$17*(1+IF($B41="Churn",$C41,0)))+Premissas!G$15*(1+IF($B41="Leads",$C41,0))*Premissas!G$16*(1+IF($B41="Conversão",$C41,0))</f>
        <v>480.329861091939</v>
      </c>
      <c r="I41" s="20" t="n">
        <f aca="false">H41*(1-Premissas!H$17*(1+IF($B41="Churn",$C41,0)))+Premissas!H$15*(1+IF($B41="Leads",$C41,0))*Premissas!H$16*(1+IF($B41="Conversão",$C41,0))</f>
        <v>491.262604147916</v>
      </c>
      <c r="J41" s="20" t="n">
        <f aca="false">I41*(1-Premissas!I$17*(1+IF($B41="Churn",$C41,0)))+Premissas!I$15*(1+IF($B41="Leads",$C41,0))*Premissas!I$16*(1+IF($B41="Conversão",$C41,0))</f>
        <v>500.454826856662</v>
      </c>
      <c r="K41" s="20" t="n">
        <f aca="false">J41*(1-Premissas!J$17*(1+IF($B41="Churn",$C41,0)))+Premissas!J$15*(1+IF($B41="Leads",$C41,0))*Premissas!J$16*(1+IF($B41="Conversão",$C41,0))</f>
        <v>511.944820665815</v>
      </c>
      <c r="L41" s="20" t="n">
        <f aca="false">K41*(1-Premissas!K$17*(1+IF($B41="Churn",$C41,0)))+Premissas!K$15*(1+IF($B41="Leads",$C41,0))*Premissas!K$16*(1+IF($B41="Conversão",$C41,0))</f>
        <v>525.182034611167</v>
      </c>
      <c r="M41" s="20" t="n">
        <f aca="false">L41*(1-Premissas!L$17*(1+IF($B41="Churn",$C41,0)))+Premissas!L$15*(1+IF($B41="Leads",$C41,0))*Premissas!L$16*(1+IF($B41="Conversão",$C41,0))</f>
        <v>539.128029849722</v>
      </c>
      <c r="N41" s="20" t="n">
        <f aca="false">M41*(1-Premissas!M$17*(1+IF($B41="Churn",$C41,0)))+Premissas!M$15*(1+IF($B41="Leads",$C41,0))*Premissas!M$16*(1+IF($B41="Conversão",$C41,0))</f>
        <v>551.267213193028</v>
      </c>
      <c r="O41" s="20" t="n">
        <f aca="false">N41*(1-Premissas!N$17*(1+IF($B41="Churn",$C41,0)))+Premissas!N$15*(1+IF($B41="Leads",$C41,0))*Premissas!N$16*(1+IF($B41="Conversão",$C41,0))</f>
        <v>556.139334502781</v>
      </c>
      <c r="P41" s="20" t="n">
        <f aca="false">O41</f>
        <v>556.139334502781</v>
      </c>
    </row>
    <row r="42" customFormat="false" ht="15" hidden="false" customHeight="false" outlineLevel="0" collapsed="false">
      <c r="A42" s="18" t="s">
        <v>173</v>
      </c>
      <c r="B42" s="19" t="s">
        <v>143</v>
      </c>
      <c r="C42" s="46" t="n">
        <f aca="false">-$B$3</f>
        <v>-0.1</v>
      </c>
      <c r="D42" s="24" t="n">
        <f aca="false">D41*Premissas!C$18*(1+IF($B42="Ticket médio",$C42,0))*(1-Premissas!$B$6-Premissas!$B$7)-D41*Premissas!C$19*(1+IF($B42="Custo unitário",$C42,0))-Premissas!C$20*(1+IF($B42="Headcount",$C42,0))*Premissas!C$21*(1+IF($B42="Salário médio",$C42,0))*(1+Premissas!$B$8)-Custos!C21*(1+IF($B42="Despesas fixas",$C42,0))-Premissas!$B$12</f>
        <v>-41734.688</v>
      </c>
      <c r="E42" s="24" t="n">
        <f aca="false">E41*Premissas!D$18*(1+IF($B42="Ticket médio",$C42,0))*(1-Premissas!$B$6-Premissas!$B$7)-E41*Premissas!D$19*(1+IF($B42="Custo unitário",$C42,0))-Premissas!D$20*(1+IF($B42="Headcount",$C42,0))*Premissas!D$21*(1+IF($B42="Salário médio",$C42,0))*(1+Premissas!$B$8)-Custos!D21*(1+IF($B42="Despesas fixas",$C42,0))-Premissas!$B$12</f>
        <v>-32498.624864</v>
      </c>
      <c r="F42" s="24" t="n">
        <f aca="false">F41*Premissas!E$18*(1+IF($B42="Ticket médio",$C42,0))*(1-Premissas!$B$6-Premissas!$B$7)-F41*Premissas!E$19*(1+IF($B42="Custo unitário",$C42,0))-Premissas!E$20*(1+IF($B42="Headcount",$C42,0))*Premissas!E$21*(1+IF($B42="Salário médio",$C42,0))*(1+Premissas!$B$8)-Custos!E21*(1+IF($B42="Despesas fixas",$C42,0))-Premissas!$B$12</f>
        <v>-20957.155116992</v>
      </c>
      <c r="G42" s="24" t="n">
        <f aca="false">G41*Premissas!F$18*(1+IF($B42="Ticket médio",$C42,0))*(1-Premissas!$B$6-Premissas!$B$7)-G41*Premissas!F$19*(1+IF($B42="Custo unitário",$C42,0))-Premissas!F$20*(1+IF($B42="Headcount",$C42,0))*Premissas!F$21*(1+IF($B42="Salário médio",$C42,0))*(1+Premissas!$B$8)-Custos!F21*(1+IF($B42="Despesas fixas",$C42,0))-Premissas!$B$12</f>
        <v>-32605.7977044182</v>
      </c>
      <c r="H42" s="24" t="n">
        <f aca="false">H41*Premissas!G$18*(1+IF($B42="Ticket médio",$C42,0))*(1-Premissas!$B$6-Premissas!$B$7)-H41*Premissas!G$19*(1+IF($B42="Custo unitário",$C42,0))-Premissas!G$20*(1+IF($B42="Headcount",$C42,0))*Premissas!G$21*(1+IF($B42="Salário médio",$C42,0))*(1+Premissas!$B$8)-Custos!G21*(1+IF($B42="Despesas fixas",$C42,0))-Premissas!$B$12</f>
        <v>-21548.1701549211</v>
      </c>
      <c r="I42" s="24" t="n">
        <f aca="false">I41*Premissas!H$18*(1+IF($B42="Ticket médio",$C42,0))*(1-Premissas!$B$6-Premissas!$B$7)-I41*Premissas!H$19*(1+IF($B42="Custo unitário",$C42,0))-Premissas!H$20*(1+IF($B42="Headcount",$C42,0))*Premissas!H$21*(1+IF($B42="Salário médio",$C42,0))*(1+Premissas!$B$8)-Custos!H21*(1+IF($B42="Despesas fixas",$C42,0))-Premissas!$B$12</f>
        <v>-12406.2104115128</v>
      </c>
      <c r="J42" s="24" t="n">
        <f aca="false">J41*Premissas!I$18*(1+IF($B42="Ticket médio",$C42,0))*(1-Premissas!$B$6-Premissas!$B$7)-J41*Premissas!I$19*(1+IF($B42="Custo unitário",$C42,0))-Premissas!I$20*(1+IF($B42="Headcount",$C42,0))*Premissas!I$21*(1+IF($B42="Salário médio",$C42,0))*(1+Premissas!$B$8)-Custos!I21*(1+IF($B42="Despesas fixas",$C42,0))-Premissas!$B$12</f>
        <v>-33969.6737824595</v>
      </c>
      <c r="K42" s="24" t="n">
        <f aca="false">K41*Premissas!J$18*(1+IF($B42="Ticket médio",$C42,0))*(1-Premissas!$B$6-Premissas!$B$7)-K41*Premissas!J$19*(1+IF($B42="Custo unitário",$C42,0))-Premissas!J$20*(1+IF($B42="Headcount",$C42,0))*Premissas!J$21*(1+IF($B42="Salário médio",$C42,0))*(1+Premissas!$B$8)-Custos!J21*(1+IF($B42="Despesas fixas",$C42,0))-Premissas!$B$12</f>
        <v>-24361.7409592455</v>
      </c>
      <c r="L42" s="24" t="n">
        <f aca="false">L41*Premissas!K$18*(1+IF($B42="Ticket médio",$C42,0))*(1-Premissas!$B$6-Premissas!$B$7)-L41*Premissas!K$19*(1+IF($B42="Custo unitário",$C42,0))-Premissas!K$20*(1+IF($B42="Headcount",$C42,0))*Premissas!K$21*(1+IF($B42="Salário médio",$C42,0))*(1+Premissas!$B$8)-Custos!K21*(1+IF($B42="Despesas fixas",$C42,0))-Premissas!$B$12</f>
        <v>-13292.782658142</v>
      </c>
      <c r="M42" s="24" t="n">
        <f aca="false">M41*Premissas!L$18*(1+IF($B42="Ticket médio",$C42,0))*(1-Premissas!$B$6-Premissas!$B$7)-M41*Premissas!L$19*(1+IF($B42="Custo unitário",$C42,0))-Premissas!L$20*(1+IF($B42="Headcount",$C42,0))*Premissas!L$21*(1+IF($B42="Salário médio",$C42,0))*(1+Premissas!$B$8)-Custos!L21*(1+IF($B42="Despesas fixas",$C42,0))-Premissas!$B$12</f>
        <v>-23731.1414396628</v>
      </c>
      <c r="N42" s="24" t="n">
        <f aca="false">N41*Premissas!M$18*(1+IF($B42="Ticket médio",$C42,0))*(1-Premissas!$B$6-Premissas!$B$7)-N41*Premissas!M$19*(1+IF($B42="Custo unitário",$C42,0))-Premissas!M$20*(1+IF($B42="Headcount",$C42,0))*Premissas!M$21*(1+IF($B42="Salário médio",$C42,0))*(1+Premissas!$B$8)-Custos!M21*(1+IF($B42="Despesas fixas",$C42,0))-Premissas!$B$12</f>
        <v>-13580.3563279902</v>
      </c>
      <c r="O42" s="24" t="n">
        <f aca="false">O41*Premissas!N$18*(1+IF($B42="Ticket médio",$C42,0))*(1-Premissas!$B$6-Premissas!$B$7)-O41*Premissas!N$19*(1+IF($B42="Custo unitário",$C42,0))-Premissas!N$20*(1+IF($B42="Headcount",$C42,0))*Premissas!N$21*(1+IF($B42="Salário médio",$C42,0))*(1+Premissas!$B$8)-Custos!N21*(1+IF($B42="Despesas fixas",$C42,0))-Premissas!$B$12</f>
        <v>-9506.28848877444</v>
      </c>
      <c r="P42" s="24" t="n">
        <f aca="false">SUM(D42:O42)</f>
        <v>-280192.629908118</v>
      </c>
    </row>
    <row r="43" customFormat="false" ht="15" hidden="false" customHeight="false" outlineLevel="0" collapsed="false">
      <c r="A43" s="42" t="s">
        <v>174</v>
      </c>
      <c r="B43" s="13" t="s">
        <v>143</v>
      </c>
      <c r="C43" s="47" t="n">
        <f aca="false">-$B$3</f>
        <v>-0.1</v>
      </c>
      <c r="D43" s="44" t="n">
        <f aca="false">D42-MAX(0,D42)*Premissas!$B$9</f>
        <v>-41734.688</v>
      </c>
      <c r="E43" s="44" t="n">
        <f aca="false">E42-MAX(0,E42)*Premissas!$B$9</f>
        <v>-32498.624864</v>
      </c>
      <c r="F43" s="44" t="n">
        <f aca="false">F42-MAX(0,F42)*Premissas!$B$9</f>
        <v>-20957.155116992</v>
      </c>
      <c r="G43" s="44" t="n">
        <f aca="false">G42-MAX(0,G42)*Premissas!$B$9</f>
        <v>-32605.7977044182</v>
      </c>
      <c r="H43" s="44" t="n">
        <f aca="false">H42-MAX(0,H42)*Premissas!$B$9</f>
        <v>-21548.1701549211</v>
      </c>
      <c r="I43" s="44" t="n">
        <f aca="false">I42-MAX(0,I42)*Premissas!$B$9</f>
        <v>-12406.2104115128</v>
      </c>
      <c r="J43" s="44" t="n">
        <f aca="false">J42-MAX(0,J42)*Premissas!$B$9</f>
        <v>-33969.6737824595</v>
      </c>
      <c r="K43" s="44" t="n">
        <f aca="false">K42-MAX(0,K42)*Premissas!$B$9</f>
        <v>-24361.7409592455</v>
      </c>
      <c r="L43" s="44" t="n">
        <f aca="false">L42-MAX(0,L42)*Premissas!$B$9</f>
        <v>-13292.782658142</v>
      </c>
      <c r="M43" s="44" t="n">
        <f aca="false">M42-MAX(0,M42)*Premissas!$B$9</f>
        <v>-23731.1414396628</v>
      </c>
      <c r="N43" s="44" t="n">
        <f aca="false">N42-MAX(0,N42)*Premissas!$B$9</f>
        <v>-13580.3563279902</v>
      </c>
      <c r="O43" s="44" t="n">
        <f aca="false">O42-MAX(0,O42)*Premissas!$B$9</f>
        <v>-9506.28848877444</v>
      </c>
      <c r="P43" s="44" t="n">
        <f aca="false">SUM(D43:O43)</f>
        <v>-280192.629908118</v>
      </c>
    </row>
    <row r="44" customFormat="false" ht="15" hidden="false" customHeight="false" outlineLevel="0" collapsed="false">
      <c r="A44" s="18" t="s">
        <v>175</v>
      </c>
      <c r="B44" s="19" t="s">
        <v>143</v>
      </c>
      <c r="C44" s="46" t="n">
        <f aca="false">$B$3</f>
        <v>0.1</v>
      </c>
      <c r="D44" s="20" t="n">
        <f aca="false">Premissas!$B$5*(1-Premissas!C$17*(1+IF($B44="Churn",$C44,0)))+Premissas!C$15*(1+IF($B44="Leads",$C44,0))*Premissas!C$16*(1+IF($B44="Conversão",$C44,0))</f>
        <v>429.76</v>
      </c>
      <c r="E44" s="20" t="n">
        <f aca="false">D44*(1-Premissas!D$17*(1+IF($B44="Churn",$C44,0)))+Premissas!D$15*(1+IF($B44="Leads",$C44,0))*Premissas!D$16*(1+IF($B44="Conversão",$C44,0))</f>
        <v>440.80528</v>
      </c>
      <c r="F44" s="20" t="n">
        <f aca="false">E44*(1-Premissas!E$17*(1+IF($B44="Churn",$C44,0)))+Premissas!E$15*(1+IF($B44="Leads",$C44,0))*Premissas!E$16*(1+IF($B44="Conversão",$C44,0))</f>
        <v>454.60756384</v>
      </c>
      <c r="G44" s="20" t="n">
        <f aca="false">F44*(1-Premissas!F$17*(1+IF($B44="Churn",$C44,0)))+Premissas!F$15*(1+IF($B44="Leads",$C44,0))*Premissas!F$16*(1+IF($B44="Conversão",$C44,0))</f>
        <v>467.10619743552</v>
      </c>
      <c r="H44" s="20" t="n">
        <f aca="false">G44*(1-Premissas!G$17*(1+IF($B44="Churn",$C44,0)))+Premissas!G$15*(1+IF($B44="Leads",$C44,0))*Premissas!G$16*(1+IF($B44="Conversão",$C44,0))</f>
        <v>480.329861091939</v>
      </c>
      <c r="I44" s="20" t="n">
        <f aca="false">H44*(1-Premissas!H$17*(1+IF($B44="Churn",$C44,0)))+Premissas!H$15*(1+IF($B44="Leads",$C44,0))*Premissas!H$16*(1+IF($B44="Conversão",$C44,0))</f>
        <v>491.262604147916</v>
      </c>
      <c r="J44" s="20" t="n">
        <f aca="false">I44*(1-Premissas!I$17*(1+IF($B44="Churn",$C44,0)))+Premissas!I$15*(1+IF($B44="Leads",$C44,0))*Premissas!I$16*(1+IF($B44="Conversão",$C44,0))</f>
        <v>500.454826856662</v>
      </c>
      <c r="K44" s="20" t="n">
        <f aca="false">J44*(1-Premissas!J$17*(1+IF($B44="Churn",$C44,0)))+Premissas!J$15*(1+IF($B44="Leads",$C44,0))*Premissas!J$16*(1+IF($B44="Conversão",$C44,0))</f>
        <v>511.944820665815</v>
      </c>
      <c r="L44" s="20" t="n">
        <f aca="false">K44*(1-Premissas!K$17*(1+IF($B44="Churn",$C44,0)))+Premissas!K$15*(1+IF($B44="Leads",$C44,0))*Premissas!K$16*(1+IF($B44="Conversão",$C44,0))</f>
        <v>525.182034611167</v>
      </c>
      <c r="M44" s="20" t="n">
        <f aca="false">L44*(1-Premissas!L$17*(1+IF($B44="Churn",$C44,0)))+Premissas!L$15*(1+IF($B44="Leads",$C44,0))*Premissas!L$16*(1+IF($B44="Conversão",$C44,0))</f>
        <v>539.128029849722</v>
      </c>
      <c r="N44" s="20" t="n">
        <f aca="false">M44*(1-Premissas!M$17*(1+IF($B44="Churn",$C44,0)))+Premissas!M$15*(1+IF($B44="Leads",$C44,0))*Premissas!M$16*(1+IF($B44="Conversão",$C44,0))</f>
        <v>551.267213193028</v>
      </c>
      <c r="O44" s="20" t="n">
        <f aca="false">N44*(1-Premissas!N$17*(1+IF($B44="Churn",$C44,0)))+Premissas!N$15*(1+IF($B44="Leads",$C44,0))*Premissas!N$16*(1+IF($B44="Conversão",$C44,0))</f>
        <v>556.139334502781</v>
      </c>
      <c r="P44" s="20" t="n">
        <f aca="false">O44</f>
        <v>556.139334502781</v>
      </c>
    </row>
    <row r="45" customFormat="false" ht="15" hidden="false" customHeight="false" outlineLevel="0" collapsed="false">
      <c r="A45" s="18" t="s">
        <v>176</v>
      </c>
      <c r="B45" s="19" t="s">
        <v>143</v>
      </c>
      <c r="C45" s="46" t="n">
        <f aca="false">$B$3</f>
        <v>0.1</v>
      </c>
      <c r="D45" s="24" t="n">
        <f aca="false">D44*Premissas!C$18*(1+IF($B45="Ticket médio",$C45,0))*(1-Premissas!$B$6-Premissas!$B$7)-D44*Premissas!C$19*(1+IF($B45="Custo unitário",$C45,0))-Premissas!C$20*(1+IF($B45="Headcount",$C45,0))*Premissas!C$21*(1+IF($B45="Salário médio",$C45,0))*(1+Premissas!$B$8)-Custos!C21*(1+IF($B45="Despesas fixas",$C45,0))-Premissas!$B$12</f>
        <v>62954.8480000001</v>
      </c>
      <c r="E45" s="24" t="n">
        <f aca="false">E44*Premissas!D$18*(1+IF($B45="Ticket médio",$C45,0))*(1-Premissas!$B$6-Premissas!$B$7)-E44*Premissas!D$19*(1+IF($B45="Custo unitário",$C45,0))-Premissas!D$20*(1+IF($B45="Headcount",$C45,0))*Premissas!D$21*(1+IF($B45="Salário médio",$C45,0))*(1+Premissas!$B$8)-Custos!D21*(1+IF($B45="Despesas fixas",$C45,0))-Premissas!$B$12</f>
        <v>74881.5413439999</v>
      </c>
      <c r="F45" s="24" t="n">
        <f aca="false">F44*Premissas!E$18*(1+IF($B45="Ticket médio",$C45,0))*(1-Premissas!$B$6-Premissas!$B$7)-F44*Premissas!E$19*(1+IF($B45="Custo unitário",$C45,0))-Premissas!E$20*(1+IF($B45="Headcount",$C45,0))*Premissas!E$21*(1+IF($B45="Salário médio",$C45,0))*(1+Premissas!$B$8)-Custos!E21*(1+IF($B45="Despesas fixas",$C45,0))-Premissas!$B$12</f>
        <v>89785.2474344321</v>
      </c>
      <c r="G45" s="24" t="n">
        <f aca="false">G44*Premissas!F$18*(1+IF($B45="Ticket médio",$C45,0))*(1-Premissas!$B$6-Premissas!$B$7)-G44*Premissas!F$19*(1+IF($B45="Custo unitário",$C45,0))-Premissas!F$20*(1+IF($B45="Headcount",$C45,0))*Premissas!F$21*(1+IF($B45="Salário médio",$C45,0))*(1+Premissas!$B$8)-Custos!F21*(1+IF($B45="Despesas fixas",$C45,0))-Premissas!$B$12</f>
        <v>81181.2719908746</v>
      </c>
      <c r="H45" s="24" t="n">
        <f aca="false">H44*Premissas!G$18*(1+IF($B45="Ticket médio",$C45,0))*(1-Premissas!$B$6-Premissas!$B$7)-H44*Premissas!G$19*(1+IF($B45="Custo unitário",$C45,0))-Premissas!G$20*(1+IF($B45="Headcount",$C45,0))*Premissas!G$21*(1+IF($B45="Salário médio",$C45,0))*(1+Premissas!$B$8)-Custos!G21*(1+IF($B45="Despesas fixas",$C45,0))-Premissas!$B$12</f>
        <v>95460.1840070752</v>
      </c>
      <c r="I45" s="24" t="n">
        <f aca="false">I44*Premissas!H$18*(1+IF($B45="Ticket médio",$C45,0))*(1-Premissas!$B$6-Premissas!$B$7)-I44*Premissas!H$19*(1+IF($B45="Custo unitário",$C45,0))-Premissas!H$20*(1+IF($B45="Headcount",$C45,0))*Premissas!H$21*(1+IF($B45="Salário médio",$C45,0))*(1+Premissas!$B$8)-Custos!H21*(1+IF($B45="Despesas fixas",$C45,0))-Premissas!$B$12</f>
        <v>107265.35995892</v>
      </c>
      <c r="J45" s="24" t="n">
        <f aca="false">J44*Premissas!I$18*(1+IF($B45="Ticket médio",$C45,0))*(1-Premissas!$B$6-Premissas!$B$7)-J44*Premissas!I$19*(1+IF($B45="Custo unitário",$C45,0))-Premissas!I$20*(1+IF($B45="Headcount",$C45,0))*Premissas!I$21*(1+IF($B45="Salário médio",$C45,0))*(1+Premissas!$B$8)-Custos!I21*(1+IF($B45="Despesas fixas",$C45,0))-Premissas!$B$12</f>
        <v>87941.1220398234</v>
      </c>
      <c r="K45" s="24" t="n">
        <f aca="false">K44*Premissas!J$18*(1+IF($B45="Ticket médio",$C45,0))*(1-Premissas!$B$6-Premissas!$B$7)-K44*Premissas!J$19*(1+IF($B45="Custo unitário",$C45,0))-Premissas!J$20*(1+IF($B45="Headcount",$C45,0))*Premissas!J$21*(1+IF($B45="Salário médio",$C45,0))*(1+Premissas!$B$8)-Custos!J21*(1+IF($B45="Despesas fixas",$C45,0))-Premissas!$B$12</f>
        <v>100348.017354947</v>
      </c>
      <c r="L45" s="24" t="n">
        <f aca="false">L44*Premissas!K$18*(1+IF($B45="Ticket médio",$C45,0))*(1-Premissas!$B$6-Premissas!$B$7)-L44*Premissas!K$19*(1+IF($B45="Custo unitário",$C45,0))-Premissas!K$20*(1+IF($B45="Headcount",$C45,0))*Premissas!K$21*(1+IF($B45="Salário médio",$C45,0))*(1+Premissas!$B$8)-Custos!K21*(1+IF($B45="Despesas fixas",$C45,0))-Premissas!$B$12</f>
        <v>114641.560973138</v>
      </c>
      <c r="M45" s="24" t="n">
        <f aca="false">M44*Premissas!L$18*(1+IF($B45="Ticket médio",$C45,0))*(1-Premissas!$B$6-Premissas!$B$7)-M44*Premissas!L$19*(1+IF($B45="Custo unitário",$C45,0))-Premissas!L$20*(1+IF($B45="Headcount",$C45,0))*Premissas!L$21*(1+IF($B45="Salário médio",$C45,0))*(1+Premissas!$B$8)-Custos!L21*(1+IF($B45="Despesas fixas",$C45,0))-Premissas!$B$12</f>
        <v>107600.446631729</v>
      </c>
      <c r="N45" s="24" t="n">
        <f aca="false">N44*Premissas!M$18*(1+IF($B45="Ticket médio",$C45,0))*(1-Premissas!$B$6-Premissas!$B$7)-N44*Premissas!M$19*(1+IF($B45="Custo unitário",$C45,0))-Premissas!M$20*(1+IF($B45="Headcount",$C45,0))*Premissas!M$21*(1+IF($B45="Salário médio",$C45,0))*(1+Premissas!$B$8)-Custos!M21*(1+IF($B45="Despesas fixas",$C45,0))-Premissas!$B$12</f>
        <v>120708.336805831</v>
      </c>
      <c r="O45" s="24" t="n">
        <f aca="false">O44*Premissas!N$18*(1+IF($B45="Ticket médio",$C45,0))*(1-Premissas!$B$6-Premissas!$B$7)-O44*Premissas!N$19*(1+IF($B45="Custo unitário",$C45,0))-Premissas!N$20*(1+IF($B45="Headcount",$C45,0))*Premissas!N$21*(1+IF($B45="Salário médio",$C45,0))*(1+Premissas!$B$8)-Custos!N21*(1+IF($B45="Despesas fixas",$C45,0))-Premissas!$B$12</f>
        <v>125969.253396103</v>
      </c>
      <c r="P45" s="24" t="n">
        <f aca="false">SUM(D45:O45)</f>
        <v>1168737.18993687</v>
      </c>
    </row>
    <row r="46" customFormat="false" ht="15" hidden="false" customHeight="false" outlineLevel="0" collapsed="false">
      <c r="A46" s="42" t="s">
        <v>177</v>
      </c>
      <c r="B46" s="13" t="s">
        <v>143</v>
      </c>
      <c r="C46" s="47" t="n">
        <f aca="false">$B$3</f>
        <v>0.1</v>
      </c>
      <c r="D46" s="44" t="n">
        <f aca="false">D45-MAX(0,D45)*Premissas!$B$9</f>
        <v>41550.1996800001</v>
      </c>
      <c r="E46" s="44" t="n">
        <f aca="false">E45-MAX(0,E45)*Premissas!$B$9</f>
        <v>49421.8172870399</v>
      </c>
      <c r="F46" s="44" t="n">
        <f aca="false">F45-MAX(0,F45)*Premissas!$B$9</f>
        <v>59258.2633067252</v>
      </c>
      <c r="G46" s="44" t="n">
        <f aca="false">G45-MAX(0,G45)*Premissas!$B$9</f>
        <v>53579.6395139772</v>
      </c>
      <c r="H46" s="44" t="n">
        <f aca="false">H45-MAX(0,H45)*Premissas!$B$9</f>
        <v>63003.7214446696</v>
      </c>
      <c r="I46" s="44" t="n">
        <f aca="false">I45-MAX(0,I45)*Premissas!$B$9</f>
        <v>70795.1375728869</v>
      </c>
      <c r="J46" s="44" t="n">
        <f aca="false">J45-MAX(0,J45)*Premissas!$B$9</f>
        <v>58041.1405462835</v>
      </c>
      <c r="K46" s="44" t="n">
        <f aca="false">K45-MAX(0,K45)*Premissas!$B$9</f>
        <v>66229.6914542651</v>
      </c>
      <c r="L46" s="44" t="n">
        <f aca="false">L45-MAX(0,L45)*Premissas!$B$9</f>
        <v>75663.4302422713</v>
      </c>
      <c r="M46" s="44" t="n">
        <f aca="false">M45-MAX(0,M45)*Premissas!$B$9</f>
        <v>71016.2947769414</v>
      </c>
      <c r="N46" s="44" t="n">
        <f aca="false">N45-MAX(0,N45)*Premissas!$B$9</f>
        <v>79667.5022918487</v>
      </c>
      <c r="O46" s="44" t="n">
        <f aca="false">O45-MAX(0,O45)*Premissas!$B$9</f>
        <v>83139.707241428</v>
      </c>
      <c r="P46" s="44" t="n">
        <f aca="false">SUM(D46:O46)</f>
        <v>771366.545358337</v>
      </c>
    </row>
    <row r="47" customFormat="false" ht="15" hidden="false" customHeight="false" outlineLevel="0" collapsed="false">
      <c r="A47" s="18" t="s">
        <v>178</v>
      </c>
      <c r="B47" s="19" t="s">
        <v>144</v>
      </c>
      <c r="C47" s="46" t="n">
        <f aca="false">-$B$3</f>
        <v>-0.1</v>
      </c>
      <c r="D47" s="20" t="n">
        <f aca="false">Premissas!$B$5*(1-Premissas!C$17*(1+IF($B47="Churn",$C47,0)))+Premissas!C$15*(1+IF($B47="Leads",$C47,0))*Premissas!C$16*(1+IF($B47="Conversão",$C47,0))</f>
        <v>429.76</v>
      </c>
      <c r="E47" s="20" t="n">
        <f aca="false">D47*(1-Premissas!D$17*(1+IF($B47="Churn",$C47,0)))+Premissas!D$15*(1+IF($B47="Leads",$C47,0))*Premissas!D$16*(1+IF($B47="Conversão",$C47,0))</f>
        <v>440.80528</v>
      </c>
      <c r="F47" s="20" t="n">
        <f aca="false">E47*(1-Premissas!E$17*(1+IF($B47="Churn",$C47,0)))+Premissas!E$15*(1+IF($B47="Leads",$C47,0))*Premissas!E$16*(1+IF($B47="Conversão",$C47,0))</f>
        <v>454.60756384</v>
      </c>
      <c r="G47" s="20" t="n">
        <f aca="false">F47*(1-Premissas!F$17*(1+IF($B47="Churn",$C47,0)))+Premissas!F$15*(1+IF($B47="Leads",$C47,0))*Premissas!F$16*(1+IF($B47="Conversão",$C47,0))</f>
        <v>467.10619743552</v>
      </c>
      <c r="H47" s="20" t="n">
        <f aca="false">G47*(1-Premissas!G$17*(1+IF($B47="Churn",$C47,0)))+Premissas!G$15*(1+IF($B47="Leads",$C47,0))*Premissas!G$16*(1+IF($B47="Conversão",$C47,0))</f>
        <v>480.329861091939</v>
      </c>
      <c r="I47" s="20" t="n">
        <f aca="false">H47*(1-Premissas!H$17*(1+IF($B47="Churn",$C47,0)))+Premissas!H$15*(1+IF($B47="Leads",$C47,0))*Premissas!H$16*(1+IF($B47="Conversão",$C47,0))</f>
        <v>491.262604147916</v>
      </c>
      <c r="J47" s="20" t="n">
        <f aca="false">I47*(1-Premissas!I$17*(1+IF($B47="Churn",$C47,0)))+Premissas!I$15*(1+IF($B47="Leads",$C47,0))*Premissas!I$16*(1+IF($B47="Conversão",$C47,0))</f>
        <v>500.454826856662</v>
      </c>
      <c r="K47" s="20" t="n">
        <f aca="false">J47*(1-Premissas!J$17*(1+IF($B47="Churn",$C47,0)))+Premissas!J$15*(1+IF($B47="Leads",$C47,0))*Premissas!J$16*(1+IF($B47="Conversão",$C47,0))</f>
        <v>511.944820665815</v>
      </c>
      <c r="L47" s="20" t="n">
        <f aca="false">K47*(1-Premissas!K$17*(1+IF($B47="Churn",$C47,0)))+Premissas!K$15*(1+IF($B47="Leads",$C47,0))*Premissas!K$16*(1+IF($B47="Conversão",$C47,0))</f>
        <v>525.182034611167</v>
      </c>
      <c r="M47" s="20" t="n">
        <f aca="false">L47*(1-Premissas!L$17*(1+IF($B47="Churn",$C47,0)))+Premissas!L$15*(1+IF($B47="Leads",$C47,0))*Premissas!L$16*(1+IF($B47="Conversão",$C47,0))</f>
        <v>539.128029849722</v>
      </c>
      <c r="N47" s="20" t="n">
        <f aca="false">M47*(1-Premissas!M$17*(1+IF($B47="Churn",$C47,0)))+Premissas!M$15*(1+IF($B47="Leads",$C47,0))*Premissas!M$16*(1+IF($B47="Conversão",$C47,0))</f>
        <v>551.267213193028</v>
      </c>
      <c r="O47" s="20" t="n">
        <f aca="false">N47*(1-Premissas!N$17*(1+IF($B47="Churn",$C47,0)))+Premissas!N$15*(1+IF($B47="Leads",$C47,0))*Premissas!N$16*(1+IF($B47="Conversão",$C47,0))</f>
        <v>556.139334502781</v>
      </c>
      <c r="P47" s="20" t="n">
        <f aca="false">O47</f>
        <v>556.139334502781</v>
      </c>
    </row>
    <row r="48" customFormat="false" ht="15" hidden="false" customHeight="false" outlineLevel="0" collapsed="false">
      <c r="A48" s="18" t="s">
        <v>179</v>
      </c>
      <c r="B48" s="19" t="s">
        <v>144</v>
      </c>
      <c r="C48" s="46" t="n">
        <f aca="false">-$B$3</f>
        <v>-0.1</v>
      </c>
      <c r="D48" s="24" t="n">
        <f aca="false">D47*Premissas!C$18*(1+IF($B48="Ticket médio",$C48,0))*(1-Premissas!$B$6-Premissas!$B$7)-D47*Premissas!C$19*(1+IF($B48="Custo unitário",$C48,0))-Premissas!C$20*(1+IF($B48="Headcount",$C48,0))*Premissas!C$21*(1+IF($B48="Salário médio",$C48,0))*(1+Premissas!$B$8)-Custos!C21*(1+IF($B48="Despesas fixas",$C48,0))-Premissas!$B$12</f>
        <v>21783.84</v>
      </c>
      <c r="E48" s="24" t="n">
        <f aca="false">E47*Premissas!D$18*(1+IF($B48="Ticket médio",$C48,0))*(1-Premissas!$B$6-Premissas!$B$7)-E47*Premissas!D$19*(1+IF($B48="Custo unitário",$C48,0))-Premissas!D$20*(1+IF($B48="Headcount",$C48,0))*Premissas!D$21*(1+IF($B48="Salário médio",$C48,0))*(1+Premissas!$B$8)-Custos!D21*(1+IF($B48="Despesas fixas",$C48,0))-Premissas!$B$12</f>
        <v>32652.39552</v>
      </c>
      <c r="F48" s="24" t="n">
        <f aca="false">F47*Premissas!E$18*(1+IF($B48="Ticket médio",$C48,0))*(1-Premissas!$B$6-Premissas!$B$7)-F47*Premissas!E$19*(1+IF($B48="Custo unitário",$C48,0))-Premissas!E$20*(1+IF($B48="Headcount",$C48,0))*Premissas!E$21*(1+IF($B48="Salário médio",$C48,0))*(1+Premissas!$B$8)-Custos!E21*(1+IF($B48="Despesas fixas",$C48,0))-Premissas!$B$12</f>
        <v>46233.84281856</v>
      </c>
      <c r="G48" s="24" t="n">
        <f aca="false">G47*Premissas!F$18*(1+IF($B48="Ticket médio",$C48,0))*(1-Premissas!$B$6-Premissas!$B$7)-G47*Premissas!F$19*(1+IF($B48="Custo unitário",$C48,0))-Premissas!F$20*(1+IF($B48="Headcount",$C48,0))*Premissas!F$21*(1+IF($B48="Salário médio",$C48,0))*(1+Premissas!$B$8)-Custos!F21*(1+IF($B48="Despesas fixas",$C48,0))-Premissas!$B$12</f>
        <v>36432.4982765515</v>
      </c>
      <c r="H48" s="24" t="n">
        <f aca="false">H47*Premissas!G$18*(1+IF($B48="Ticket médio",$C48,0))*(1-Premissas!$B$6-Premissas!$B$7)-H47*Premissas!G$19*(1+IF($B48="Custo unitário",$C48,0))-Premissas!G$20*(1+IF($B48="Headcount",$C48,0))*Premissas!G$21*(1+IF($B48="Salário médio",$C48,0))*(1+Premissas!$B$8)-Custos!G21*(1+IF($B48="Despesas fixas",$C48,0))-Premissas!$B$12</f>
        <v>49444.5833144676</v>
      </c>
      <c r="I48" s="24" t="n">
        <f aca="false">I47*Premissas!H$18*(1+IF($B48="Ticket médio",$C48,0))*(1-Premissas!$B$6-Premissas!$B$7)-I47*Premissas!H$19*(1+IF($B48="Custo unitário",$C48,0))-Premissas!H$20*(1+IF($B48="Headcount",$C48,0))*Premissas!H$21*(1+IF($B48="Salário médio",$C48,0))*(1+Premissas!$B$8)-Custos!H21*(1+IF($B48="Despesas fixas",$C48,0))-Premissas!$B$12</f>
        <v>60202.4024815492</v>
      </c>
      <c r="J48" s="24" t="n">
        <f aca="false">J47*Premissas!I$18*(1+IF($B48="Ticket médio",$C48,0))*(1-Premissas!$B$6-Premissas!$B$7)-J47*Premissas!I$19*(1+IF($B48="Custo unitário",$C48,0))-Premissas!I$20*(1+IF($B48="Headcount",$C48,0))*Premissas!I$21*(1+IF($B48="Salário médio",$C48,0))*(1+Premissas!$B$8)-Custos!I21*(1+IF($B48="Despesas fixas",$C48,0))-Premissas!$B$12</f>
        <v>39997.5496269551</v>
      </c>
      <c r="K48" s="24" t="n">
        <f aca="false">K47*Premissas!J$18*(1+IF($B48="Ticket médio",$C48,0))*(1-Premissas!$B$6-Premissas!$B$7)-K47*Premissas!J$19*(1+IF($B48="Custo unitário",$C48,0))-Premissas!J$20*(1+IF($B48="Headcount",$C48,0))*Premissas!J$21*(1+IF($B48="Salário médio",$C48,0))*(1+Premissas!$B$8)-Custos!J21*(1+IF($B48="Despesas fixas",$C48,0))-Premissas!$B$12</f>
        <v>51303.7035351621</v>
      </c>
      <c r="L48" s="24" t="n">
        <f aca="false">L47*Premissas!K$18*(1+IF($B48="Ticket médio",$C48,0))*(1-Premissas!$B$6-Premissas!$B$7)-L47*Premissas!K$19*(1+IF($B48="Custo unitário",$C48,0))-Premissas!K$20*(1+IF($B48="Headcount",$C48,0))*Premissas!K$21*(1+IF($B48="Salário médio",$C48,0))*(1+Premissas!$B$8)-Custos!K21*(1+IF($B48="Despesas fixas",$C48,0))-Premissas!$B$12</f>
        <v>64329.1220573885</v>
      </c>
      <c r="M48" s="24" t="n">
        <f aca="false">M47*Premissas!L$18*(1+IF($B48="Ticket médio",$C48,0))*(1-Premissas!$B$6-Premissas!$B$7)-M47*Premissas!L$19*(1+IF($B48="Custo unitário",$C48,0))-Premissas!L$20*(1+IF($B48="Headcount",$C48,0))*Premissas!L$21*(1+IF($B48="Salário médio",$C48,0))*(1+Premissas!$B$8)-Custos!L21*(1+IF($B48="Despesas fixas",$C48,0))-Premissas!$B$12</f>
        <v>55951.981372126</v>
      </c>
      <c r="N48" s="24" t="n">
        <f aca="false">N47*Premissas!M$18*(1+IF($B48="Ticket médio",$C48,0))*(1-Premissas!$B$6-Premissas!$B$7)-N47*Premissas!M$19*(1+IF($B48="Custo unitário",$C48,0))-Premissas!M$20*(1+IF($B48="Headcount",$C48,0))*Premissas!M$21*(1+IF($B48="Salário médio",$C48,0))*(1+Premissas!$B$8)-Custos!M21*(1+IF($B48="Despesas fixas",$C48,0))-Premissas!$B$12</f>
        <v>67896.9377819393</v>
      </c>
      <c r="O48" s="24" t="n">
        <f aca="false">O47*Premissas!N$18*(1+IF($B48="Ticket médio",$C48,0))*(1-Premissas!$B$6-Premissas!$B$7)-O47*Premissas!N$19*(1+IF($B48="Custo unitário",$C48,0))-Premissas!N$20*(1+IF($B48="Headcount",$C48,0))*Premissas!N$21*(1+IF($B48="Salário médio",$C48,0))*(1+Premissas!$B$8)-Custos!N21*(1+IF($B48="Despesas fixas",$C48,0))-Premissas!$B$12</f>
        <v>72691.1051507366</v>
      </c>
      <c r="P48" s="24" t="n">
        <f aca="false">SUM(D48:O48)</f>
        <v>598919.961935436</v>
      </c>
    </row>
    <row r="49" customFormat="false" ht="15" hidden="false" customHeight="false" outlineLevel="0" collapsed="false">
      <c r="A49" s="42" t="s">
        <v>180</v>
      </c>
      <c r="B49" s="13" t="s">
        <v>144</v>
      </c>
      <c r="C49" s="47" t="n">
        <f aca="false">-$B$3</f>
        <v>-0.1</v>
      </c>
      <c r="D49" s="44" t="n">
        <f aca="false">D48-MAX(0,D48)*Premissas!$B$9</f>
        <v>14377.3344</v>
      </c>
      <c r="E49" s="44" t="n">
        <f aca="false">E48-MAX(0,E48)*Premissas!$B$9</f>
        <v>21550.5810432</v>
      </c>
      <c r="F49" s="44" t="n">
        <f aca="false">F48-MAX(0,F48)*Premissas!$B$9</f>
        <v>30514.3362602496</v>
      </c>
      <c r="G49" s="44" t="n">
        <f aca="false">G48-MAX(0,G48)*Premissas!$B$9</f>
        <v>24045.448862524</v>
      </c>
      <c r="H49" s="44" t="n">
        <f aca="false">H48-MAX(0,H48)*Premissas!$B$9</f>
        <v>32633.4249875486</v>
      </c>
      <c r="I49" s="44" t="n">
        <f aca="false">I48-MAX(0,I48)*Premissas!$B$9</f>
        <v>39733.5856378225</v>
      </c>
      <c r="J49" s="44" t="n">
        <f aca="false">J48-MAX(0,J48)*Premissas!$B$9</f>
        <v>26398.3827537903</v>
      </c>
      <c r="K49" s="44" t="n">
        <f aca="false">K48-MAX(0,K48)*Premissas!$B$9</f>
        <v>33860.444333207</v>
      </c>
      <c r="L49" s="44" t="n">
        <f aca="false">L48-MAX(0,L48)*Premissas!$B$9</f>
        <v>42457.2205578764</v>
      </c>
      <c r="M49" s="44" t="n">
        <f aca="false">M48-MAX(0,M48)*Premissas!$B$9</f>
        <v>36928.3077056032</v>
      </c>
      <c r="N49" s="44" t="n">
        <f aca="false">N48-MAX(0,N48)*Premissas!$B$9</f>
        <v>44811.9789360799</v>
      </c>
      <c r="O49" s="44" t="n">
        <f aca="false">O48-MAX(0,O48)*Premissas!$B$9</f>
        <v>47976.1293994862</v>
      </c>
      <c r="P49" s="44" t="n">
        <f aca="false">SUM(D49:O49)</f>
        <v>395287.174877388</v>
      </c>
    </row>
    <row r="50" customFormat="false" ht="15" hidden="false" customHeight="false" outlineLevel="0" collapsed="false">
      <c r="A50" s="18" t="s">
        <v>181</v>
      </c>
      <c r="B50" s="19" t="s">
        <v>144</v>
      </c>
      <c r="C50" s="46" t="n">
        <f aca="false">$B$3</f>
        <v>0.1</v>
      </c>
      <c r="D50" s="20" t="n">
        <f aca="false">Premissas!$B$5*(1-Premissas!C$17*(1+IF($B50="Churn",$C50,0)))+Premissas!C$15*(1+IF($B50="Leads",$C50,0))*Premissas!C$16*(1+IF($B50="Conversão",$C50,0))</f>
        <v>429.76</v>
      </c>
      <c r="E50" s="20" t="n">
        <f aca="false">D50*(1-Premissas!D$17*(1+IF($B50="Churn",$C50,0)))+Premissas!D$15*(1+IF($B50="Leads",$C50,0))*Premissas!D$16*(1+IF($B50="Conversão",$C50,0))</f>
        <v>440.80528</v>
      </c>
      <c r="F50" s="20" t="n">
        <f aca="false">E50*(1-Premissas!E$17*(1+IF($B50="Churn",$C50,0)))+Premissas!E$15*(1+IF($B50="Leads",$C50,0))*Premissas!E$16*(1+IF($B50="Conversão",$C50,0))</f>
        <v>454.60756384</v>
      </c>
      <c r="G50" s="20" t="n">
        <f aca="false">F50*(1-Premissas!F$17*(1+IF($B50="Churn",$C50,0)))+Premissas!F$15*(1+IF($B50="Leads",$C50,0))*Premissas!F$16*(1+IF($B50="Conversão",$C50,0))</f>
        <v>467.10619743552</v>
      </c>
      <c r="H50" s="20" t="n">
        <f aca="false">G50*(1-Premissas!G$17*(1+IF($B50="Churn",$C50,0)))+Premissas!G$15*(1+IF($B50="Leads",$C50,0))*Premissas!G$16*(1+IF($B50="Conversão",$C50,0))</f>
        <v>480.329861091939</v>
      </c>
      <c r="I50" s="20" t="n">
        <f aca="false">H50*(1-Premissas!H$17*(1+IF($B50="Churn",$C50,0)))+Premissas!H$15*(1+IF($B50="Leads",$C50,0))*Premissas!H$16*(1+IF($B50="Conversão",$C50,0))</f>
        <v>491.262604147916</v>
      </c>
      <c r="J50" s="20" t="n">
        <f aca="false">I50*(1-Premissas!I$17*(1+IF($B50="Churn",$C50,0)))+Premissas!I$15*(1+IF($B50="Leads",$C50,0))*Premissas!I$16*(1+IF($B50="Conversão",$C50,0))</f>
        <v>500.454826856662</v>
      </c>
      <c r="K50" s="20" t="n">
        <f aca="false">J50*(1-Premissas!J$17*(1+IF($B50="Churn",$C50,0)))+Premissas!J$15*(1+IF($B50="Leads",$C50,0))*Premissas!J$16*(1+IF($B50="Conversão",$C50,0))</f>
        <v>511.944820665815</v>
      </c>
      <c r="L50" s="20" t="n">
        <f aca="false">K50*(1-Premissas!K$17*(1+IF($B50="Churn",$C50,0)))+Premissas!K$15*(1+IF($B50="Leads",$C50,0))*Premissas!K$16*(1+IF($B50="Conversão",$C50,0))</f>
        <v>525.182034611167</v>
      </c>
      <c r="M50" s="20" t="n">
        <f aca="false">L50*(1-Premissas!L$17*(1+IF($B50="Churn",$C50,0)))+Premissas!L$15*(1+IF($B50="Leads",$C50,0))*Premissas!L$16*(1+IF($B50="Conversão",$C50,0))</f>
        <v>539.128029849722</v>
      </c>
      <c r="N50" s="20" t="n">
        <f aca="false">M50*(1-Premissas!M$17*(1+IF($B50="Churn",$C50,0)))+Premissas!M$15*(1+IF($B50="Leads",$C50,0))*Premissas!M$16*(1+IF($B50="Conversão",$C50,0))</f>
        <v>551.267213193028</v>
      </c>
      <c r="O50" s="20" t="n">
        <f aca="false">N50*(1-Premissas!N$17*(1+IF($B50="Churn",$C50,0)))+Premissas!N$15*(1+IF($B50="Leads",$C50,0))*Premissas!N$16*(1+IF($B50="Conversão",$C50,0))</f>
        <v>556.139334502781</v>
      </c>
      <c r="P50" s="20" t="n">
        <f aca="false">O50</f>
        <v>556.139334502781</v>
      </c>
    </row>
    <row r="51" customFormat="false" ht="15" hidden="false" customHeight="false" outlineLevel="0" collapsed="false">
      <c r="A51" s="18" t="s">
        <v>182</v>
      </c>
      <c r="B51" s="19" t="s">
        <v>144</v>
      </c>
      <c r="C51" s="46" t="n">
        <f aca="false">$B$3</f>
        <v>0.1</v>
      </c>
      <c r="D51" s="24" t="n">
        <f aca="false">D50*Premissas!C$18*(1+IF($B51="Ticket médio",$C51,0))*(1-Premissas!$B$6-Premissas!$B$7)-D50*Premissas!C$19*(1+IF($B51="Custo unitário",$C51,0))-Premissas!C$20*(1+IF($B51="Headcount",$C51,0))*Premissas!C$21*(1+IF($B51="Salário médio",$C51,0))*(1+Premissas!$B$8)-Custos!C21*(1+IF($B51="Despesas fixas",$C51,0))-Premissas!$B$12</f>
        <v>-563.679999999993</v>
      </c>
      <c r="E51" s="24" t="n">
        <f aca="false">E50*Premissas!D$18*(1+IF($B51="Ticket médio",$C51,0))*(1-Premissas!$B$6-Premissas!$B$7)-E50*Premissas!D$19*(1+IF($B51="Custo unitário",$C51,0))-Premissas!D$20*(1+IF($B51="Headcount",$C51,0))*Premissas!D$21*(1+IF($B51="Salário médio",$C51,0))*(1+Premissas!$B$8)-Custos!D21*(1+IF($B51="Despesas fixas",$C51,0))-Premissas!$B$12</f>
        <v>9730.52095999994</v>
      </c>
      <c r="F51" s="24" t="n">
        <f aca="false">F50*Premissas!E$18*(1+IF($B51="Ticket médio",$C51,0))*(1-Premissas!$B$6-Premissas!$B$7)-F50*Premissas!E$19*(1+IF($B51="Custo unitário",$C51,0))-Premissas!E$20*(1+IF($B51="Headcount",$C51,0))*Premissas!E$21*(1+IF($B51="Salário médio",$C51,0))*(1+Premissas!$B$8)-Custos!E21*(1+IF($B51="Despesas fixas",$C51,0))-Premissas!$B$12</f>
        <v>22594.2494988799</v>
      </c>
      <c r="G51" s="24" t="n">
        <f aca="false">G50*Premissas!F$18*(1+IF($B51="Ticket médio",$C51,0))*(1-Premissas!$B$6-Premissas!$B$7)-G50*Premissas!F$19*(1+IF($B51="Custo unitário",$C51,0))-Premissas!F$20*(1+IF($B51="Headcount",$C51,0))*Premissas!F$21*(1+IF($B51="Salário médio",$C51,0))*(1+Premissas!$B$8)-Custos!F21*(1+IF($B51="Despesas fixas",$C51,0))-Premissas!$B$12</f>
        <v>12142.9760099045</v>
      </c>
      <c r="H51" s="24" t="n">
        <f aca="false">H50*Premissas!G$18*(1+IF($B51="Ticket médio",$C51,0))*(1-Premissas!$B$6-Premissas!$B$7)-H50*Premissas!G$19*(1+IF($B51="Custo unitário",$C51,0))-Premissas!G$20*(1+IF($B51="Headcount",$C51,0))*Premissas!G$21*(1+IF($B51="Salário médio",$C51,0))*(1+Premissas!$B$8)-Custos!G21*(1+IF($B51="Despesas fixas",$C51,0))-Premissas!$B$12</f>
        <v>24467.4305376867</v>
      </c>
      <c r="I51" s="24" t="n">
        <f aca="false">I50*Premissas!H$18*(1+IF($B51="Ticket médio",$C51,0))*(1-Premissas!$B$6-Premissas!$B$7)-I50*Premissas!H$19*(1+IF($B51="Custo unitário",$C51,0))-Premissas!H$20*(1+IF($B51="Headcount",$C51,0))*Premissas!H$21*(1+IF($B51="Salário médio",$C51,0))*(1+Premissas!$B$8)-Custos!H21*(1+IF($B51="Despesas fixas",$C51,0))-Premissas!$B$12</f>
        <v>34656.7470658576</v>
      </c>
      <c r="J51" s="24" t="n">
        <f aca="false">J50*Premissas!I$18*(1+IF($B51="Ticket médio",$C51,0))*(1-Premissas!$B$6-Premissas!$B$7)-J50*Premissas!I$19*(1+IF($B51="Custo unitário",$C51,0))-Premissas!I$20*(1+IF($B51="Headcount",$C51,0))*Premissas!I$21*(1+IF($B51="Salário médio",$C51,0))*(1+Premissas!$B$8)-Custos!I21*(1+IF($B51="Despesas fixas",$C51,0))-Premissas!$B$12</f>
        <v>13973.8986304087</v>
      </c>
      <c r="K51" s="24" t="n">
        <f aca="false">K50*Premissas!J$18*(1+IF($B51="Ticket médio",$C51,0))*(1-Premissas!$B$6-Premissas!$B$7)-K50*Premissas!J$19*(1+IF($B51="Custo unitário",$C51,0))-Premissas!J$20*(1+IF($B51="Headcount",$C51,0))*Premissas!J$21*(1+IF($B51="Salário médio",$C51,0))*(1+Premissas!$B$8)-Custos!J21*(1+IF($B51="Despesas fixas",$C51,0))-Premissas!$B$12</f>
        <v>24682.5728605397</v>
      </c>
      <c r="L51" s="24" t="n">
        <f aca="false">L50*Premissas!K$18*(1+IF($B51="Ticket médio",$C51,0))*(1-Premissas!$B$6-Premissas!$B$7)-L50*Premissas!K$19*(1+IF($B51="Custo unitário",$C51,0))-Premissas!K$20*(1+IF($B51="Headcount",$C51,0))*Premissas!K$21*(1+IF($B51="Salário médio",$C51,0))*(1+Premissas!$B$8)-Custos!K21*(1+IF($B51="Despesas fixas",$C51,0))-Premissas!$B$12</f>
        <v>37019.6562576079</v>
      </c>
      <c r="M51" s="24" t="n">
        <f aca="false">M50*Premissas!L$18*(1+IF($B51="Ticket médio",$C51,0))*(1-Premissas!$B$6-Premissas!$B$7)-M50*Premissas!L$19*(1+IF($B51="Custo unitário",$C51,0))-Premissas!L$20*(1+IF($B51="Headcount",$C51,0))*Premissas!L$21*(1+IF($B51="Salário médio",$C51,0))*(1+Premissas!$B$8)-Custos!L21*(1+IF($B51="Despesas fixas",$C51,0))-Premissas!$B$12</f>
        <v>27917.3238199405</v>
      </c>
      <c r="N51" s="24" t="n">
        <f aca="false">N50*Premissas!M$18*(1+IF($B51="Ticket médio",$C51,0))*(1-Premissas!$B$6-Premissas!$B$7)-N50*Premissas!M$19*(1+IF($B51="Custo unitário",$C51,0))-Premissas!M$20*(1+IF($B51="Headcount",$C51,0))*Premissas!M$21*(1+IF($B51="Salário médio",$C51,0))*(1+Premissas!$B$8)-Custos!M21*(1+IF($B51="Despesas fixas",$C51,0))-Premissas!$B$12</f>
        <v>39231.0426959018</v>
      </c>
      <c r="O51" s="24" t="n">
        <f aca="false">O50*Premissas!N$18*(1+IF($B51="Ticket médio",$C51,0))*(1-Premissas!$B$6-Premissas!$B$7)-O50*Premissas!N$19*(1+IF($B51="Custo unitário",$C51,0))-Premissas!N$20*(1+IF($B51="Headcount",$C51,0))*Premissas!N$21*(1+IF($B51="Salário médio",$C51,0))*(1+Premissas!$B$8)-Custos!N21*(1+IF($B51="Despesas fixas",$C51,0))-Premissas!$B$12</f>
        <v>43771.859756592</v>
      </c>
      <c r="P51" s="24" t="n">
        <f aca="false">SUM(D51:O51)</f>
        <v>289624.598093319</v>
      </c>
    </row>
    <row r="52" customFormat="false" ht="15" hidden="false" customHeight="false" outlineLevel="0" collapsed="false">
      <c r="A52" s="42" t="s">
        <v>183</v>
      </c>
      <c r="B52" s="13" t="s">
        <v>144</v>
      </c>
      <c r="C52" s="47" t="n">
        <f aca="false">$B$3</f>
        <v>0.1</v>
      </c>
      <c r="D52" s="44" t="n">
        <f aca="false">D51-MAX(0,D51)*Premissas!$B$9</f>
        <v>-563.679999999993</v>
      </c>
      <c r="E52" s="44" t="n">
        <f aca="false">E51-MAX(0,E51)*Premissas!$B$9</f>
        <v>6422.14383359996</v>
      </c>
      <c r="F52" s="44" t="n">
        <f aca="false">F51-MAX(0,F51)*Premissas!$B$9</f>
        <v>14912.2046692608</v>
      </c>
      <c r="G52" s="44" t="n">
        <f aca="false">G51-MAX(0,G51)*Premissas!$B$9</f>
        <v>8014.36416653699</v>
      </c>
      <c r="H52" s="44" t="n">
        <f aca="false">H51-MAX(0,H51)*Premissas!$B$9</f>
        <v>16148.5041548732</v>
      </c>
      <c r="I52" s="44" t="n">
        <f aca="false">I51-MAX(0,I51)*Premissas!$B$9</f>
        <v>22873.453063466</v>
      </c>
      <c r="J52" s="44" t="n">
        <f aca="false">J51-MAX(0,J51)*Premissas!$B$9</f>
        <v>9222.77309606973</v>
      </c>
      <c r="K52" s="44" t="n">
        <f aca="false">K51-MAX(0,K51)*Premissas!$B$9</f>
        <v>16290.4980879562</v>
      </c>
      <c r="L52" s="44" t="n">
        <f aca="false">L51-MAX(0,L51)*Premissas!$B$9</f>
        <v>24432.9731300212</v>
      </c>
      <c r="M52" s="44" t="n">
        <f aca="false">M51-MAX(0,M51)*Premissas!$B$9</f>
        <v>18425.4337211607</v>
      </c>
      <c r="N52" s="44" t="n">
        <f aca="false">N51-MAX(0,N51)*Premissas!$B$9</f>
        <v>25892.4881792952</v>
      </c>
      <c r="O52" s="44" t="n">
        <f aca="false">O51-MAX(0,O51)*Premissas!$B$9</f>
        <v>28889.4274393507</v>
      </c>
      <c r="P52" s="44" t="n">
        <f aca="false">SUM(D52:O52)</f>
        <v>190960.583541591</v>
      </c>
    </row>
    <row r="53" customFormat="false" ht="15" hidden="false" customHeight="false" outlineLevel="0" collapsed="false">
      <c r="A53" s="18" t="s">
        <v>184</v>
      </c>
      <c r="B53" s="19" t="s">
        <v>74</v>
      </c>
      <c r="C53" s="46" t="n">
        <f aca="false">-$B$3</f>
        <v>-0.1</v>
      </c>
      <c r="D53" s="20" t="n">
        <f aca="false">Premissas!$B$5*(1-Premissas!C$17*(1+IF($B53="Churn",$C53,0)))+Premissas!C$15*(1+IF($B53="Leads",$C53,0))*Premissas!C$16*(1+IF($B53="Conversão",$C53,0))</f>
        <v>429.76</v>
      </c>
      <c r="E53" s="20" t="n">
        <f aca="false">D53*(1-Premissas!D$17*(1+IF($B53="Churn",$C53,0)))+Premissas!D$15*(1+IF($B53="Leads",$C53,0))*Premissas!D$16*(1+IF($B53="Conversão",$C53,0))</f>
        <v>440.80528</v>
      </c>
      <c r="F53" s="20" t="n">
        <f aca="false">E53*(1-Premissas!E$17*(1+IF($B53="Churn",$C53,0)))+Premissas!E$15*(1+IF($B53="Leads",$C53,0))*Premissas!E$16*(1+IF($B53="Conversão",$C53,0))</f>
        <v>454.60756384</v>
      </c>
      <c r="G53" s="20" t="n">
        <f aca="false">F53*(1-Premissas!F$17*(1+IF($B53="Churn",$C53,0)))+Premissas!F$15*(1+IF($B53="Leads",$C53,0))*Premissas!F$16*(1+IF($B53="Conversão",$C53,0))</f>
        <v>467.10619743552</v>
      </c>
      <c r="H53" s="20" t="n">
        <f aca="false">G53*(1-Premissas!G$17*(1+IF($B53="Churn",$C53,0)))+Premissas!G$15*(1+IF($B53="Leads",$C53,0))*Premissas!G$16*(1+IF($B53="Conversão",$C53,0))</f>
        <v>480.329861091939</v>
      </c>
      <c r="I53" s="20" t="n">
        <f aca="false">H53*(1-Premissas!H$17*(1+IF($B53="Churn",$C53,0)))+Premissas!H$15*(1+IF($B53="Leads",$C53,0))*Premissas!H$16*(1+IF($B53="Conversão",$C53,0))</f>
        <v>491.262604147916</v>
      </c>
      <c r="J53" s="20" t="n">
        <f aca="false">I53*(1-Premissas!I$17*(1+IF($B53="Churn",$C53,0)))+Premissas!I$15*(1+IF($B53="Leads",$C53,0))*Premissas!I$16*(1+IF($B53="Conversão",$C53,0))</f>
        <v>500.454826856662</v>
      </c>
      <c r="K53" s="20" t="n">
        <f aca="false">J53*(1-Premissas!J$17*(1+IF($B53="Churn",$C53,0)))+Premissas!J$15*(1+IF($B53="Leads",$C53,0))*Premissas!J$16*(1+IF($B53="Conversão",$C53,0))</f>
        <v>511.944820665815</v>
      </c>
      <c r="L53" s="20" t="n">
        <f aca="false">K53*(1-Premissas!K$17*(1+IF($B53="Churn",$C53,0)))+Premissas!K$15*(1+IF($B53="Leads",$C53,0))*Premissas!K$16*(1+IF($B53="Conversão",$C53,0))</f>
        <v>525.182034611167</v>
      </c>
      <c r="M53" s="20" t="n">
        <f aca="false">L53*(1-Premissas!L$17*(1+IF($B53="Churn",$C53,0)))+Premissas!L$15*(1+IF($B53="Leads",$C53,0))*Premissas!L$16*(1+IF($B53="Conversão",$C53,0))</f>
        <v>539.128029849722</v>
      </c>
      <c r="N53" s="20" t="n">
        <f aca="false">M53*(1-Premissas!M$17*(1+IF($B53="Churn",$C53,0)))+Premissas!M$15*(1+IF($B53="Leads",$C53,0))*Premissas!M$16*(1+IF($B53="Conversão",$C53,0))</f>
        <v>551.267213193028</v>
      </c>
      <c r="O53" s="20" t="n">
        <f aca="false">N53*(1-Premissas!N$17*(1+IF($B53="Churn",$C53,0)))+Premissas!N$15*(1+IF($B53="Leads",$C53,0))*Premissas!N$16*(1+IF($B53="Conversão",$C53,0))</f>
        <v>556.139334502781</v>
      </c>
      <c r="P53" s="20" t="n">
        <f aca="false">O53</f>
        <v>556.139334502781</v>
      </c>
    </row>
    <row r="54" customFormat="false" ht="15" hidden="false" customHeight="false" outlineLevel="0" collapsed="false">
      <c r="A54" s="18" t="s">
        <v>185</v>
      </c>
      <c r="B54" s="19" t="s">
        <v>74</v>
      </c>
      <c r="C54" s="46" t="n">
        <f aca="false">-$B$3</f>
        <v>-0.1</v>
      </c>
      <c r="D54" s="24" t="n">
        <f aca="false">D53*Premissas!C$18*(1+IF($B54="Ticket médio",$C54,0))*(1-Premissas!$B$6-Premissas!$B$7)-D53*Premissas!C$19*(1+IF($B54="Custo unitário",$C54,0))-Premissas!C$20*(1+IF($B54="Headcount",$C54,0))*Premissas!C$21*(1+IF($B54="Salário médio",$C54,0))*(1+Premissas!$B$8)-Custos!C21*(1+IF($B54="Despesas fixas",$C54,0))-Premissas!$B$12</f>
        <v>34920.08</v>
      </c>
      <c r="E54" s="24" t="n">
        <f aca="false">E53*Premissas!D$18*(1+IF($B54="Ticket médio",$C54,0))*(1-Premissas!$B$6-Premissas!$B$7)-E53*Premissas!D$19*(1+IF($B54="Custo unitário",$C54,0))-Premissas!D$20*(1+IF($B54="Headcount",$C54,0))*Premissas!D$21*(1+IF($B54="Salário médio",$C54,0))*(1+Premissas!$B$8)-Custos!D21*(1+IF($B54="Despesas fixas",$C54,0))-Premissas!$B$12</f>
        <v>45501.45824</v>
      </c>
      <c r="F54" s="24" t="n">
        <f aca="false">F53*Premissas!E$18*(1+IF($B54="Ticket médio",$C54,0))*(1-Premissas!$B$6-Premissas!$B$7)-F53*Premissas!E$19*(1+IF($B54="Custo unitário",$C54,0))-Premissas!E$20*(1+IF($B54="Headcount",$C54,0))*Premissas!E$21*(1+IF($B54="Salário médio",$C54,0))*(1+Premissas!$B$8)-Custos!E21*(1+IF($B54="Despesas fixas",$C54,0))-Premissas!$B$12</f>
        <v>58724.04615872</v>
      </c>
      <c r="G54" s="24" t="n">
        <f aca="false">G53*Premissas!F$18*(1+IF($B54="Ticket médio",$C54,0))*(1-Premissas!$B$6-Premissas!$B$7)-G53*Premissas!F$19*(1+IF($B54="Custo unitário",$C54,0))-Premissas!F$20*(1+IF($B54="Headcount",$C54,0))*Premissas!F$21*(1+IF($B54="Salário médio",$C54,0))*(1+Premissas!$B$8)-Custos!F21*(1+IF($B54="Despesas fixas",$C54,0))-Premissas!$B$12</f>
        <v>50807.7371432281</v>
      </c>
      <c r="H54" s="24" t="n">
        <f aca="false">H53*Premissas!G$18*(1+IF($B54="Ticket médio",$C54,0))*(1-Premissas!$B$6-Premissas!$B$7)-H53*Premissas!G$19*(1+IF($B54="Custo unitário",$C54,0))-Premissas!G$20*(1+IF($B54="Headcount",$C54,0))*Premissas!G$21*(1+IF($B54="Salário médio",$C54,0))*(1+Premissas!$B$8)-Custos!G21*(1+IF($B54="Despesas fixas",$C54,0))-Premissas!$B$12</f>
        <v>63476.0069260771</v>
      </c>
      <c r="I54" s="24" t="n">
        <f aca="false">I53*Premissas!H$18*(1+IF($B54="Ticket médio",$C54,0))*(1-Premissas!$B$6-Premissas!$B$7)-I53*Premissas!H$19*(1+IF($B54="Custo unitário",$C54,0))-Premissas!H$20*(1+IF($B54="Headcount",$C54,0))*Premissas!H$21*(1+IF($B54="Salário médio",$C54,0))*(1+Premissas!$B$8)-Custos!H21*(1+IF($B54="Despesas fixas",$C54,0))-Premissas!$B$12</f>
        <v>73949.5747737035</v>
      </c>
      <c r="J54" s="24" t="n">
        <f aca="false">J53*Premissas!I$18*(1+IF($B54="Ticket médio",$C54,0))*(1-Premissas!$B$6-Premissas!$B$7)-J53*Premissas!I$19*(1+IF($B54="Custo unitário",$C54,0))-Premissas!I$20*(1+IF($B54="Headcount",$C54,0))*Premissas!I$21*(1+IF($B54="Salário médio",$C54,0))*(1+Premissas!$B$8)-Custos!I21*(1+IF($B54="Despesas fixas",$C54,0))-Premissas!$B$12</f>
        <v>55715.7241286819</v>
      </c>
      <c r="K54" s="24" t="n">
        <f aca="false">K53*Premissas!J$18*(1+IF($B54="Ticket médio",$C54,0))*(1-Premissas!$B$6-Premissas!$B$7)-K53*Premissas!J$19*(1+IF($B54="Custo unitário",$C54,0))-Premissas!J$20*(1+IF($B54="Headcount",$C54,0))*Premissas!J$21*(1+IF($B54="Salário médio",$C54,0))*(1+Premissas!$B$8)-Custos!J21*(1+IF($B54="Despesas fixas",$C54,0))-Premissas!$B$12</f>
        <v>66723.1381978509</v>
      </c>
      <c r="L54" s="24" t="n">
        <f aca="false">L53*Premissas!K$18*(1+IF($B54="Ticket médio",$C54,0))*(1-Premissas!$B$6-Premissas!$B$7)-L53*Premissas!K$19*(1+IF($B54="Custo unitário",$C54,0))-Premissas!K$20*(1+IF($B54="Headcount",$C54,0))*Premissas!K$21*(1+IF($B54="Salário médio",$C54,0))*(1+Premissas!$B$8)-Custos!K21*(1+IF($B54="Despesas fixas",$C54,0))-Premissas!$B$12</f>
        <v>79404.3891574982</v>
      </c>
      <c r="M54" s="24" t="n">
        <f aca="false">M53*Premissas!L$18*(1+IF($B54="Ticket médio",$C54,0))*(1-Premissas!$B$6-Premissas!$B$7)-M53*Premissas!L$19*(1+IF($B54="Custo unitário",$C54,0))-Premissas!L$20*(1+IF($B54="Headcount",$C54,0))*Premissas!L$21*(1+IF($B54="Salário médio",$C54,0))*(1+Premissas!$B$8)-Custos!L21*(1+IF($B54="Despesas fixas",$C54,0))-Premissas!$B$12</f>
        <v>72874.6525960333</v>
      </c>
      <c r="N54" s="24" t="n">
        <f aca="false">N53*Premissas!M$18*(1+IF($B54="Ticket médio",$C54,0))*(1-Premissas!$B$6-Premissas!$B$7)-N53*Premissas!M$19*(1+IF($B54="Custo unitário",$C54,0))-Premissas!M$20*(1+IF($B54="Headcount",$C54,0))*Premissas!M$21*(1+IF($B54="Salário médio",$C54,0))*(1+Premissas!$B$8)-Custos!M21*(1+IF($B54="Despesas fixas",$C54,0))-Premissas!$B$12</f>
        <v>84503.9902389206</v>
      </c>
      <c r="O54" s="24" t="n">
        <f aca="false">O53*Premissas!N$18*(1+IF($B54="Ticket médio",$C54,0))*(1-Premissas!$B$6-Premissas!$B$7)-O53*Premissas!N$19*(1+IF($B54="Custo unitário",$C54,0))-Premissas!N$20*(1+IF($B54="Headcount",$C54,0))*Premissas!N$21*(1+IF($B54="Salário médio",$C54,0))*(1+Premissas!$B$8)-Custos!N21*(1+IF($B54="Despesas fixas",$C54,0))-Premissas!$B$12</f>
        <v>89171.4824536643</v>
      </c>
      <c r="P54" s="24" t="n">
        <f aca="false">SUM(D54:O54)</f>
        <v>775772.280014378</v>
      </c>
    </row>
    <row r="55" customFormat="false" ht="15" hidden="false" customHeight="false" outlineLevel="0" collapsed="false">
      <c r="A55" s="42" t="s">
        <v>186</v>
      </c>
      <c r="B55" s="13" t="s">
        <v>74</v>
      </c>
      <c r="C55" s="47" t="n">
        <f aca="false">-$B$3</f>
        <v>-0.1</v>
      </c>
      <c r="D55" s="44" t="n">
        <f aca="false">D54-MAX(0,D54)*Premissas!$B$9</f>
        <v>23047.2528</v>
      </c>
      <c r="E55" s="44" t="n">
        <f aca="false">E54-MAX(0,E54)*Premissas!$B$9</f>
        <v>30030.9624384</v>
      </c>
      <c r="F55" s="44" t="n">
        <f aca="false">F54-MAX(0,F54)*Premissas!$B$9</f>
        <v>38757.8704647552</v>
      </c>
      <c r="G55" s="44" t="n">
        <f aca="false">G54-MAX(0,G54)*Premissas!$B$9</f>
        <v>33533.1065145305</v>
      </c>
      <c r="H55" s="44" t="n">
        <f aca="false">H54-MAX(0,H54)*Premissas!$B$9</f>
        <v>41894.1645712109</v>
      </c>
      <c r="I55" s="44" t="n">
        <f aca="false">I54-MAX(0,I54)*Premissas!$B$9</f>
        <v>48806.7193506443</v>
      </c>
      <c r="J55" s="44" t="n">
        <f aca="false">J54-MAX(0,J54)*Premissas!$B$9</f>
        <v>36772.37792493</v>
      </c>
      <c r="K55" s="44" t="n">
        <f aca="false">K54-MAX(0,K54)*Premissas!$B$9</f>
        <v>44037.2712105816</v>
      </c>
      <c r="L55" s="44" t="n">
        <f aca="false">L54-MAX(0,L54)*Premissas!$B$9</f>
        <v>52406.8968439488</v>
      </c>
      <c r="M55" s="44" t="n">
        <f aca="false">M54-MAX(0,M54)*Premissas!$B$9</f>
        <v>48097.270713382</v>
      </c>
      <c r="N55" s="44" t="n">
        <f aca="false">N54-MAX(0,N54)*Premissas!$B$9</f>
        <v>55772.6335576876</v>
      </c>
      <c r="O55" s="44" t="n">
        <f aca="false">O54-MAX(0,O54)*Premissas!$B$9</f>
        <v>58853.1784194184</v>
      </c>
      <c r="P55" s="44" t="n">
        <f aca="false">SUM(D55:O55)</f>
        <v>512009.704809489</v>
      </c>
    </row>
    <row r="56" customFormat="false" ht="15" hidden="false" customHeight="false" outlineLevel="0" collapsed="false">
      <c r="A56" s="18" t="s">
        <v>187</v>
      </c>
      <c r="B56" s="19" t="s">
        <v>74</v>
      </c>
      <c r="C56" s="46" t="n">
        <f aca="false">$B$3</f>
        <v>0.1</v>
      </c>
      <c r="D56" s="20" t="n">
        <f aca="false">Premissas!$B$5*(1-Premissas!C$17*(1+IF($B56="Churn",$C56,0)))+Premissas!C$15*(1+IF($B56="Leads",$C56,0))*Premissas!C$16*(1+IF($B56="Conversão",$C56,0))</f>
        <v>429.76</v>
      </c>
      <c r="E56" s="20" t="n">
        <f aca="false">D56*(1-Premissas!D$17*(1+IF($B56="Churn",$C56,0)))+Premissas!D$15*(1+IF($B56="Leads",$C56,0))*Premissas!D$16*(1+IF($B56="Conversão",$C56,0))</f>
        <v>440.80528</v>
      </c>
      <c r="F56" s="20" t="n">
        <f aca="false">E56*(1-Premissas!E$17*(1+IF($B56="Churn",$C56,0)))+Premissas!E$15*(1+IF($B56="Leads",$C56,0))*Premissas!E$16*(1+IF($B56="Conversão",$C56,0))</f>
        <v>454.60756384</v>
      </c>
      <c r="G56" s="20" t="n">
        <f aca="false">F56*(1-Premissas!F$17*(1+IF($B56="Churn",$C56,0)))+Premissas!F$15*(1+IF($B56="Leads",$C56,0))*Premissas!F$16*(1+IF($B56="Conversão",$C56,0))</f>
        <v>467.10619743552</v>
      </c>
      <c r="H56" s="20" t="n">
        <f aca="false">G56*(1-Premissas!G$17*(1+IF($B56="Churn",$C56,0)))+Premissas!G$15*(1+IF($B56="Leads",$C56,0))*Premissas!G$16*(1+IF($B56="Conversão",$C56,0))</f>
        <v>480.329861091939</v>
      </c>
      <c r="I56" s="20" t="n">
        <f aca="false">H56*(1-Premissas!H$17*(1+IF($B56="Churn",$C56,0)))+Premissas!H$15*(1+IF($B56="Leads",$C56,0))*Premissas!H$16*(1+IF($B56="Conversão",$C56,0))</f>
        <v>491.262604147916</v>
      </c>
      <c r="J56" s="20" t="n">
        <f aca="false">I56*(1-Premissas!I$17*(1+IF($B56="Churn",$C56,0)))+Premissas!I$15*(1+IF($B56="Leads",$C56,0))*Premissas!I$16*(1+IF($B56="Conversão",$C56,0))</f>
        <v>500.454826856662</v>
      </c>
      <c r="K56" s="20" t="n">
        <f aca="false">J56*(1-Premissas!J$17*(1+IF($B56="Churn",$C56,0)))+Premissas!J$15*(1+IF($B56="Leads",$C56,0))*Premissas!J$16*(1+IF($B56="Conversão",$C56,0))</f>
        <v>511.944820665815</v>
      </c>
      <c r="L56" s="20" t="n">
        <f aca="false">K56*(1-Premissas!K$17*(1+IF($B56="Churn",$C56,0)))+Premissas!K$15*(1+IF($B56="Leads",$C56,0))*Premissas!K$16*(1+IF($B56="Conversão",$C56,0))</f>
        <v>525.182034611167</v>
      </c>
      <c r="M56" s="20" t="n">
        <f aca="false">L56*(1-Premissas!L$17*(1+IF($B56="Churn",$C56,0)))+Premissas!L$15*(1+IF($B56="Leads",$C56,0))*Premissas!L$16*(1+IF($B56="Conversão",$C56,0))</f>
        <v>539.128029849722</v>
      </c>
      <c r="N56" s="20" t="n">
        <f aca="false">M56*(1-Premissas!M$17*(1+IF($B56="Churn",$C56,0)))+Premissas!M$15*(1+IF($B56="Leads",$C56,0))*Premissas!M$16*(1+IF($B56="Conversão",$C56,0))</f>
        <v>551.267213193028</v>
      </c>
      <c r="O56" s="20" t="n">
        <f aca="false">N56*(1-Premissas!N$17*(1+IF($B56="Churn",$C56,0)))+Premissas!N$15*(1+IF($B56="Leads",$C56,0))*Premissas!N$16*(1+IF($B56="Conversão",$C56,0))</f>
        <v>556.139334502781</v>
      </c>
      <c r="P56" s="20" t="n">
        <f aca="false">O56</f>
        <v>556.139334502781</v>
      </c>
    </row>
    <row r="57" customFormat="false" ht="15" hidden="false" customHeight="false" outlineLevel="0" collapsed="false">
      <c r="A57" s="18" t="s">
        <v>188</v>
      </c>
      <c r="B57" s="19" t="s">
        <v>74</v>
      </c>
      <c r="C57" s="46" t="n">
        <f aca="false">$B$3</f>
        <v>0.1</v>
      </c>
      <c r="D57" s="24" t="n">
        <f aca="false">D56*Premissas!C$18*(1+IF($B57="Ticket médio",$C57,0))*(1-Premissas!$B$6-Premissas!$B$7)-D56*Premissas!C$19*(1+IF($B57="Custo unitário",$C57,0))-Premissas!C$20*(1+IF($B57="Headcount",$C57,0))*Premissas!C$21*(1+IF($B57="Salário médio",$C57,0))*(1+Premissas!$B$8)-Custos!C21*(1+IF($B57="Despesas fixas",$C57,0))-Premissas!$B$12</f>
        <v>-13699.92</v>
      </c>
      <c r="E57" s="24" t="n">
        <f aca="false">E56*Premissas!D$18*(1+IF($B57="Ticket médio",$C57,0))*(1-Premissas!$B$6-Premissas!$B$7)-E56*Premissas!D$19*(1+IF($B57="Custo unitário",$C57,0))-Premissas!D$20*(1+IF($B57="Headcount",$C57,0))*Premissas!D$21*(1+IF($B57="Salário médio",$C57,0))*(1+Premissas!$B$8)-Custos!D21*(1+IF($B57="Despesas fixas",$C57,0))-Premissas!$B$12</f>
        <v>-3118.54176000011</v>
      </c>
      <c r="F57" s="24" t="n">
        <f aca="false">F56*Premissas!E$18*(1+IF($B57="Ticket médio",$C57,0))*(1-Premissas!$B$6-Premissas!$B$7)-F56*Premissas!E$19*(1+IF($B57="Custo unitário",$C57,0))-Premissas!E$20*(1+IF($B57="Headcount",$C57,0))*Premissas!E$21*(1+IF($B57="Salário médio",$C57,0))*(1+Premissas!$B$8)-Custos!E21*(1+IF($B57="Despesas fixas",$C57,0))-Premissas!$B$12</f>
        <v>10104.0461587199</v>
      </c>
      <c r="G57" s="24" t="n">
        <f aca="false">G56*Premissas!F$18*(1+IF($B57="Ticket médio",$C57,0))*(1-Premissas!$B$6-Premissas!$B$7)-G56*Premissas!F$19*(1+IF($B57="Custo unitário",$C57,0))-Premissas!F$20*(1+IF($B57="Headcount",$C57,0))*Premissas!F$21*(1+IF($B57="Salário médio",$C57,0))*(1+Premissas!$B$8)-Custos!F21*(1+IF($B57="Despesas fixas",$C57,0))-Premissas!$B$12</f>
        <v>-2232.26285677194</v>
      </c>
      <c r="H57" s="24" t="n">
        <f aca="false">H56*Premissas!G$18*(1+IF($B57="Ticket médio",$C57,0))*(1-Premissas!$B$6-Premissas!$B$7)-H56*Premissas!G$19*(1+IF($B57="Custo unitário",$C57,0))-Premissas!G$20*(1+IF($B57="Headcount",$C57,0))*Premissas!G$21*(1+IF($B57="Salário médio",$C57,0))*(1+Premissas!$B$8)-Custos!G21*(1+IF($B57="Despesas fixas",$C57,0))-Premissas!$B$12</f>
        <v>10436.0069260771</v>
      </c>
      <c r="I57" s="24" t="n">
        <f aca="false">I56*Premissas!H$18*(1+IF($B57="Ticket médio",$C57,0))*(1-Premissas!$B$6-Premissas!$B$7)-I56*Premissas!H$19*(1+IF($B57="Custo unitário",$C57,0))-Premissas!H$20*(1+IF($B57="Headcount",$C57,0))*Premissas!H$21*(1+IF($B57="Salário médio",$C57,0))*(1+Premissas!$B$8)-Custos!H21*(1+IF($B57="Despesas fixas",$C57,0))-Premissas!$B$12</f>
        <v>20909.5747737035</v>
      </c>
      <c r="J57" s="24" t="n">
        <f aca="false">J56*Premissas!I$18*(1+IF($B57="Ticket médio",$C57,0))*(1-Premissas!$B$6-Premissas!$B$7)-J56*Premissas!I$19*(1+IF($B57="Custo unitário",$C57,0))-Premissas!I$20*(1+IF($B57="Headcount",$C57,0))*Premissas!I$21*(1+IF($B57="Salário médio",$C57,0))*(1+Premissas!$B$8)-Custos!I21*(1+IF($B57="Despesas fixas",$C57,0))-Premissas!$B$12</f>
        <v>-1744.27587131812</v>
      </c>
      <c r="K57" s="24" t="n">
        <f aca="false">K56*Premissas!J$18*(1+IF($B57="Ticket médio",$C57,0))*(1-Premissas!$B$6-Premissas!$B$7)-K56*Premissas!J$19*(1+IF($B57="Custo unitário",$C57,0))-Premissas!J$20*(1+IF($B57="Headcount",$C57,0))*Premissas!J$21*(1+IF($B57="Salário médio",$C57,0))*(1+Premissas!$B$8)-Custos!J21*(1+IF($B57="Despesas fixas",$C57,0))-Premissas!$B$12</f>
        <v>9263.1381978509</v>
      </c>
      <c r="L57" s="24" t="n">
        <f aca="false">L56*Premissas!K$18*(1+IF($B57="Ticket médio",$C57,0))*(1-Premissas!$B$6-Premissas!$B$7)-L56*Premissas!K$19*(1+IF($B57="Custo unitário",$C57,0))-Premissas!K$20*(1+IF($B57="Headcount",$C57,0))*Premissas!K$21*(1+IF($B57="Salário médio",$C57,0))*(1+Premissas!$B$8)-Custos!K21*(1+IF($B57="Despesas fixas",$C57,0))-Premissas!$B$12</f>
        <v>21944.3891574982</v>
      </c>
      <c r="M57" s="24" t="n">
        <f aca="false">M56*Premissas!L$18*(1+IF($B57="Ticket médio",$C57,0))*(1-Premissas!$B$6-Premissas!$B$7)-M56*Premissas!L$19*(1+IF($B57="Custo unitário",$C57,0))-Premissas!L$20*(1+IF($B57="Headcount",$C57,0))*Premissas!L$21*(1+IF($B57="Salário médio",$C57,0))*(1+Premissas!$B$8)-Custos!L21*(1+IF($B57="Despesas fixas",$C57,0))-Premissas!$B$12</f>
        <v>10994.6525960332</v>
      </c>
      <c r="N57" s="24" t="n">
        <f aca="false">N56*Premissas!M$18*(1+IF($B57="Ticket médio",$C57,0))*(1-Premissas!$B$6-Premissas!$B$7)-N56*Premissas!M$19*(1+IF($B57="Custo unitário",$C57,0))-Premissas!M$20*(1+IF($B57="Headcount",$C57,0))*Premissas!M$21*(1+IF($B57="Salário médio",$C57,0))*(1+Premissas!$B$8)-Custos!M21*(1+IF($B57="Despesas fixas",$C57,0))-Premissas!$B$12</f>
        <v>22623.9902389205</v>
      </c>
      <c r="O57" s="24" t="n">
        <f aca="false">O56*Premissas!N$18*(1+IF($B57="Ticket médio",$C57,0))*(1-Premissas!$B$6-Premissas!$B$7)-O56*Premissas!N$19*(1+IF($B57="Custo unitário",$C57,0))-Premissas!N$20*(1+IF($B57="Headcount",$C57,0))*Premissas!N$21*(1+IF($B57="Salário médio",$C57,0))*(1+Premissas!$B$8)-Custos!N21*(1+IF($B57="Despesas fixas",$C57,0))-Premissas!$B$12</f>
        <v>27291.4824536642</v>
      </c>
      <c r="P57" s="24" t="n">
        <f aca="false">SUM(D57:O57)</f>
        <v>112772.280014377</v>
      </c>
    </row>
    <row r="58" customFormat="false" ht="15" hidden="false" customHeight="false" outlineLevel="0" collapsed="false">
      <c r="A58" s="42" t="s">
        <v>189</v>
      </c>
      <c r="B58" s="13" t="s">
        <v>74</v>
      </c>
      <c r="C58" s="47" t="n">
        <f aca="false">$B$3</f>
        <v>0.1</v>
      </c>
      <c r="D58" s="44" t="n">
        <f aca="false">D57-MAX(0,D57)*Premissas!$B$9</f>
        <v>-13699.92</v>
      </c>
      <c r="E58" s="44" t="n">
        <f aca="false">E57-MAX(0,E57)*Premissas!$B$9</f>
        <v>-3118.54176000011</v>
      </c>
      <c r="F58" s="44" t="n">
        <f aca="false">F57-MAX(0,F57)*Premissas!$B$9</f>
        <v>6668.67046475515</v>
      </c>
      <c r="G58" s="44" t="n">
        <f aca="false">G57-MAX(0,G57)*Premissas!$B$9</f>
        <v>-2232.26285677194</v>
      </c>
      <c r="H58" s="44" t="n">
        <f aca="false">H57-MAX(0,H57)*Premissas!$B$9</f>
        <v>6887.7645712109</v>
      </c>
      <c r="I58" s="44" t="n">
        <f aca="false">I57-MAX(0,I57)*Premissas!$B$9</f>
        <v>13800.3193506443</v>
      </c>
      <c r="J58" s="44" t="n">
        <f aca="false">J57-MAX(0,J57)*Premissas!$B$9</f>
        <v>-1744.27587131812</v>
      </c>
      <c r="K58" s="44" t="n">
        <f aca="false">K57-MAX(0,K57)*Premissas!$B$9</f>
        <v>6113.6712105816</v>
      </c>
      <c r="L58" s="44" t="n">
        <f aca="false">L57-MAX(0,L57)*Premissas!$B$9</f>
        <v>14483.2968439488</v>
      </c>
      <c r="M58" s="44" t="n">
        <f aca="false">M57-MAX(0,M57)*Premissas!$B$9</f>
        <v>7256.47071338194</v>
      </c>
      <c r="N58" s="44" t="n">
        <f aca="false">N57-MAX(0,N57)*Premissas!$B$9</f>
        <v>14931.8335576875</v>
      </c>
      <c r="O58" s="44" t="n">
        <f aca="false">O57-MAX(0,O57)*Premissas!$B$9</f>
        <v>18012.3784194184</v>
      </c>
      <c r="P58" s="44" t="n">
        <f aca="false">SUM(D58:O58)</f>
        <v>67359.4046435384</v>
      </c>
    </row>
    <row r="59" customFormat="false" ht="15" hidden="false" customHeight="false" outlineLevel="0" collapsed="false">
      <c r="A59" s="18" t="s">
        <v>190</v>
      </c>
      <c r="B59" s="19" t="s">
        <v>76</v>
      </c>
      <c r="C59" s="46" t="n">
        <f aca="false">-$B$3</f>
        <v>-0.1</v>
      </c>
      <c r="D59" s="20" t="n">
        <f aca="false">Premissas!$B$5*(1-Premissas!C$17*(1+IF($B59="Churn",$C59,0)))+Premissas!C$15*(1+IF($B59="Leads",$C59,0))*Premissas!C$16*(1+IF($B59="Conversão",$C59,0))</f>
        <v>429.76</v>
      </c>
      <c r="E59" s="20" t="n">
        <f aca="false">D59*(1-Premissas!D$17*(1+IF($B59="Churn",$C59,0)))+Premissas!D$15*(1+IF($B59="Leads",$C59,0))*Premissas!D$16*(1+IF($B59="Conversão",$C59,0))</f>
        <v>440.80528</v>
      </c>
      <c r="F59" s="20" t="n">
        <f aca="false">E59*(1-Premissas!E$17*(1+IF($B59="Churn",$C59,0)))+Premissas!E$15*(1+IF($B59="Leads",$C59,0))*Premissas!E$16*(1+IF($B59="Conversão",$C59,0))</f>
        <v>454.60756384</v>
      </c>
      <c r="G59" s="20" t="n">
        <f aca="false">F59*(1-Premissas!F$17*(1+IF($B59="Churn",$C59,0)))+Premissas!F$15*(1+IF($B59="Leads",$C59,0))*Premissas!F$16*(1+IF($B59="Conversão",$C59,0))</f>
        <v>467.10619743552</v>
      </c>
      <c r="H59" s="20" t="n">
        <f aca="false">G59*(1-Premissas!G$17*(1+IF($B59="Churn",$C59,0)))+Premissas!G$15*(1+IF($B59="Leads",$C59,0))*Premissas!G$16*(1+IF($B59="Conversão",$C59,0))</f>
        <v>480.329861091939</v>
      </c>
      <c r="I59" s="20" t="n">
        <f aca="false">H59*(1-Premissas!H$17*(1+IF($B59="Churn",$C59,0)))+Premissas!H$15*(1+IF($B59="Leads",$C59,0))*Premissas!H$16*(1+IF($B59="Conversão",$C59,0))</f>
        <v>491.262604147916</v>
      </c>
      <c r="J59" s="20" t="n">
        <f aca="false">I59*(1-Premissas!I$17*(1+IF($B59="Churn",$C59,0)))+Premissas!I$15*(1+IF($B59="Leads",$C59,0))*Premissas!I$16*(1+IF($B59="Conversão",$C59,0))</f>
        <v>500.454826856662</v>
      </c>
      <c r="K59" s="20" t="n">
        <f aca="false">J59*(1-Premissas!J$17*(1+IF($B59="Churn",$C59,0)))+Premissas!J$15*(1+IF($B59="Leads",$C59,0))*Premissas!J$16*(1+IF($B59="Conversão",$C59,0))</f>
        <v>511.944820665815</v>
      </c>
      <c r="L59" s="20" t="n">
        <f aca="false">K59*(1-Premissas!K$17*(1+IF($B59="Churn",$C59,0)))+Premissas!K$15*(1+IF($B59="Leads",$C59,0))*Premissas!K$16*(1+IF($B59="Conversão",$C59,0))</f>
        <v>525.182034611167</v>
      </c>
      <c r="M59" s="20" t="n">
        <f aca="false">L59*(1-Premissas!L$17*(1+IF($B59="Churn",$C59,0)))+Premissas!L$15*(1+IF($B59="Leads",$C59,0))*Premissas!L$16*(1+IF($B59="Conversão",$C59,0))</f>
        <v>539.128029849722</v>
      </c>
      <c r="N59" s="20" t="n">
        <f aca="false">M59*(1-Premissas!M$17*(1+IF($B59="Churn",$C59,0)))+Premissas!M$15*(1+IF($B59="Leads",$C59,0))*Premissas!M$16*(1+IF($B59="Conversão",$C59,0))</f>
        <v>551.267213193028</v>
      </c>
      <c r="O59" s="20" t="n">
        <f aca="false">N59*(1-Premissas!N$17*(1+IF($B59="Churn",$C59,0)))+Premissas!N$15*(1+IF($B59="Leads",$C59,0))*Premissas!N$16*(1+IF($B59="Conversão",$C59,0))</f>
        <v>556.139334502781</v>
      </c>
      <c r="P59" s="20" t="n">
        <f aca="false">O59</f>
        <v>556.139334502781</v>
      </c>
    </row>
    <row r="60" customFormat="false" ht="15" hidden="false" customHeight="false" outlineLevel="0" collapsed="false">
      <c r="A60" s="18" t="s">
        <v>191</v>
      </c>
      <c r="B60" s="19" t="s">
        <v>76</v>
      </c>
      <c r="C60" s="46" t="n">
        <f aca="false">-$B$3</f>
        <v>-0.1</v>
      </c>
      <c r="D60" s="24" t="n">
        <f aca="false">D59*Premissas!C$18*(1+IF($B60="Ticket médio",$C60,0))*(1-Premissas!$B$6-Premissas!$B$7)-D59*Premissas!C$19*(1+IF($B60="Custo unitário",$C60,0))-Premissas!C$20*(1+IF($B60="Headcount",$C60,0))*Premissas!C$21*(1+IF($B60="Salário médio",$C60,0))*(1+Premissas!$B$8)-Custos!C21*(1+IF($B60="Despesas fixas",$C60,0))-Premissas!$B$12</f>
        <v>34920.08</v>
      </c>
      <c r="E60" s="24" t="n">
        <f aca="false">E59*Premissas!D$18*(1+IF($B60="Ticket médio",$C60,0))*(1-Premissas!$B$6-Premissas!$B$7)-E59*Premissas!D$19*(1+IF($B60="Custo unitário",$C60,0))-Premissas!D$20*(1+IF($B60="Headcount",$C60,0))*Premissas!D$21*(1+IF($B60="Salário médio",$C60,0))*(1+Premissas!$B$8)-Custos!D21*(1+IF($B60="Despesas fixas",$C60,0))-Premissas!$B$12</f>
        <v>45501.45824</v>
      </c>
      <c r="F60" s="24" t="n">
        <f aca="false">F59*Premissas!E$18*(1+IF($B60="Ticket médio",$C60,0))*(1-Premissas!$B$6-Premissas!$B$7)-F59*Premissas!E$19*(1+IF($B60="Custo unitário",$C60,0))-Premissas!E$20*(1+IF($B60="Headcount",$C60,0))*Premissas!E$21*(1+IF($B60="Salário médio",$C60,0))*(1+Premissas!$B$8)-Custos!E21*(1+IF($B60="Despesas fixas",$C60,0))-Premissas!$B$12</f>
        <v>58724.04615872</v>
      </c>
      <c r="G60" s="24" t="n">
        <f aca="false">G59*Premissas!F$18*(1+IF($B60="Ticket médio",$C60,0))*(1-Premissas!$B$6-Premissas!$B$7)-G59*Premissas!F$19*(1+IF($B60="Custo unitário",$C60,0))-Premissas!F$20*(1+IF($B60="Headcount",$C60,0))*Premissas!F$21*(1+IF($B60="Salário médio",$C60,0))*(1+Premissas!$B$8)-Custos!F21*(1+IF($B60="Despesas fixas",$C60,0))-Premissas!$B$12</f>
        <v>50807.7371432281</v>
      </c>
      <c r="H60" s="24" t="n">
        <f aca="false">H59*Premissas!G$18*(1+IF($B60="Ticket médio",$C60,0))*(1-Premissas!$B$6-Premissas!$B$7)-H59*Premissas!G$19*(1+IF($B60="Custo unitário",$C60,0))-Premissas!G$20*(1+IF($B60="Headcount",$C60,0))*Premissas!G$21*(1+IF($B60="Salário médio",$C60,0))*(1+Premissas!$B$8)-Custos!G21*(1+IF($B60="Despesas fixas",$C60,0))-Premissas!$B$12</f>
        <v>63476.0069260771</v>
      </c>
      <c r="I60" s="24" t="n">
        <f aca="false">I59*Premissas!H$18*(1+IF($B60="Ticket médio",$C60,0))*(1-Premissas!$B$6-Premissas!$B$7)-I59*Premissas!H$19*(1+IF($B60="Custo unitário",$C60,0))-Premissas!H$20*(1+IF($B60="Headcount",$C60,0))*Premissas!H$21*(1+IF($B60="Salário médio",$C60,0))*(1+Premissas!$B$8)-Custos!H21*(1+IF($B60="Despesas fixas",$C60,0))-Premissas!$B$12</f>
        <v>73949.5747737035</v>
      </c>
      <c r="J60" s="24" t="n">
        <f aca="false">J59*Premissas!I$18*(1+IF($B60="Ticket médio",$C60,0))*(1-Premissas!$B$6-Premissas!$B$7)-J59*Premissas!I$19*(1+IF($B60="Custo unitário",$C60,0))-Premissas!I$20*(1+IF($B60="Headcount",$C60,0))*Premissas!I$21*(1+IF($B60="Salário médio",$C60,0))*(1+Premissas!$B$8)-Custos!I21*(1+IF($B60="Despesas fixas",$C60,0))-Premissas!$B$12</f>
        <v>55715.7241286819</v>
      </c>
      <c r="K60" s="24" t="n">
        <f aca="false">K59*Premissas!J$18*(1+IF($B60="Ticket médio",$C60,0))*(1-Premissas!$B$6-Premissas!$B$7)-K59*Premissas!J$19*(1+IF($B60="Custo unitário",$C60,0))-Premissas!J$20*(1+IF($B60="Headcount",$C60,0))*Premissas!J$21*(1+IF($B60="Salário médio",$C60,0))*(1+Premissas!$B$8)-Custos!J21*(1+IF($B60="Despesas fixas",$C60,0))-Premissas!$B$12</f>
        <v>66723.1381978509</v>
      </c>
      <c r="L60" s="24" t="n">
        <f aca="false">L59*Premissas!K$18*(1+IF($B60="Ticket médio",$C60,0))*(1-Premissas!$B$6-Premissas!$B$7)-L59*Premissas!K$19*(1+IF($B60="Custo unitário",$C60,0))-Premissas!K$20*(1+IF($B60="Headcount",$C60,0))*Premissas!K$21*(1+IF($B60="Salário médio",$C60,0))*(1+Premissas!$B$8)-Custos!K21*(1+IF($B60="Despesas fixas",$C60,0))-Premissas!$B$12</f>
        <v>79404.3891574982</v>
      </c>
      <c r="M60" s="24" t="n">
        <f aca="false">M59*Premissas!L$18*(1+IF($B60="Ticket médio",$C60,0))*(1-Premissas!$B$6-Premissas!$B$7)-M59*Premissas!L$19*(1+IF($B60="Custo unitário",$C60,0))-Premissas!L$20*(1+IF($B60="Headcount",$C60,0))*Premissas!L$21*(1+IF($B60="Salário médio",$C60,0))*(1+Premissas!$B$8)-Custos!L21*(1+IF($B60="Despesas fixas",$C60,0))-Premissas!$B$12</f>
        <v>72874.6525960333</v>
      </c>
      <c r="N60" s="24" t="n">
        <f aca="false">N59*Premissas!M$18*(1+IF($B60="Ticket médio",$C60,0))*(1-Premissas!$B$6-Premissas!$B$7)-N59*Premissas!M$19*(1+IF($B60="Custo unitário",$C60,0))-Premissas!M$20*(1+IF($B60="Headcount",$C60,0))*Premissas!M$21*(1+IF($B60="Salário médio",$C60,0))*(1+Premissas!$B$8)-Custos!M21*(1+IF($B60="Despesas fixas",$C60,0))-Premissas!$B$12</f>
        <v>84503.9902389206</v>
      </c>
      <c r="O60" s="24" t="n">
        <f aca="false">O59*Premissas!N$18*(1+IF($B60="Ticket médio",$C60,0))*(1-Premissas!$B$6-Premissas!$B$7)-O59*Premissas!N$19*(1+IF($B60="Custo unitário",$C60,0))-Premissas!N$20*(1+IF($B60="Headcount",$C60,0))*Premissas!N$21*(1+IF($B60="Salário médio",$C60,0))*(1+Premissas!$B$8)-Custos!N21*(1+IF($B60="Despesas fixas",$C60,0))-Premissas!$B$12</f>
        <v>89171.4824536643</v>
      </c>
      <c r="P60" s="24" t="n">
        <f aca="false">SUM(D60:O60)</f>
        <v>775772.280014378</v>
      </c>
    </row>
    <row r="61" customFormat="false" ht="15" hidden="false" customHeight="false" outlineLevel="0" collapsed="false">
      <c r="A61" s="42" t="s">
        <v>192</v>
      </c>
      <c r="B61" s="13" t="s">
        <v>76</v>
      </c>
      <c r="C61" s="47" t="n">
        <f aca="false">-$B$3</f>
        <v>-0.1</v>
      </c>
      <c r="D61" s="44" t="n">
        <f aca="false">D60-MAX(0,D60)*Premissas!$B$9</f>
        <v>23047.2528</v>
      </c>
      <c r="E61" s="44" t="n">
        <f aca="false">E60-MAX(0,E60)*Premissas!$B$9</f>
        <v>30030.9624384</v>
      </c>
      <c r="F61" s="44" t="n">
        <f aca="false">F60-MAX(0,F60)*Premissas!$B$9</f>
        <v>38757.8704647552</v>
      </c>
      <c r="G61" s="44" t="n">
        <f aca="false">G60-MAX(0,G60)*Premissas!$B$9</f>
        <v>33533.1065145305</v>
      </c>
      <c r="H61" s="44" t="n">
        <f aca="false">H60-MAX(0,H60)*Premissas!$B$9</f>
        <v>41894.1645712109</v>
      </c>
      <c r="I61" s="44" t="n">
        <f aca="false">I60-MAX(0,I60)*Premissas!$B$9</f>
        <v>48806.7193506443</v>
      </c>
      <c r="J61" s="44" t="n">
        <f aca="false">J60-MAX(0,J60)*Premissas!$B$9</f>
        <v>36772.37792493</v>
      </c>
      <c r="K61" s="44" t="n">
        <f aca="false">K60-MAX(0,K60)*Premissas!$B$9</f>
        <v>44037.2712105816</v>
      </c>
      <c r="L61" s="44" t="n">
        <f aca="false">L60-MAX(0,L60)*Premissas!$B$9</f>
        <v>52406.8968439488</v>
      </c>
      <c r="M61" s="44" t="n">
        <f aca="false">M60-MAX(0,M60)*Premissas!$B$9</f>
        <v>48097.270713382</v>
      </c>
      <c r="N61" s="44" t="n">
        <f aca="false">N60-MAX(0,N60)*Premissas!$B$9</f>
        <v>55772.6335576876</v>
      </c>
      <c r="O61" s="44" t="n">
        <f aca="false">O60-MAX(0,O60)*Premissas!$B$9</f>
        <v>58853.1784194184</v>
      </c>
      <c r="P61" s="44" t="n">
        <f aca="false">SUM(D61:O61)</f>
        <v>512009.704809489</v>
      </c>
    </row>
    <row r="62" customFormat="false" ht="15" hidden="false" customHeight="false" outlineLevel="0" collapsed="false">
      <c r="A62" s="18" t="s">
        <v>193</v>
      </c>
      <c r="B62" s="19" t="s">
        <v>76</v>
      </c>
      <c r="C62" s="46" t="n">
        <f aca="false">$B$3</f>
        <v>0.1</v>
      </c>
      <c r="D62" s="20" t="n">
        <f aca="false">Premissas!$B$5*(1-Premissas!C$17*(1+IF($B62="Churn",$C62,0)))+Premissas!C$15*(1+IF($B62="Leads",$C62,0))*Premissas!C$16*(1+IF($B62="Conversão",$C62,0))</f>
        <v>429.76</v>
      </c>
      <c r="E62" s="20" t="n">
        <f aca="false">D62*(1-Premissas!D$17*(1+IF($B62="Churn",$C62,0)))+Premissas!D$15*(1+IF($B62="Leads",$C62,0))*Premissas!D$16*(1+IF($B62="Conversão",$C62,0))</f>
        <v>440.80528</v>
      </c>
      <c r="F62" s="20" t="n">
        <f aca="false">E62*(1-Premissas!E$17*(1+IF($B62="Churn",$C62,0)))+Premissas!E$15*(1+IF($B62="Leads",$C62,0))*Premissas!E$16*(1+IF($B62="Conversão",$C62,0))</f>
        <v>454.60756384</v>
      </c>
      <c r="G62" s="20" t="n">
        <f aca="false">F62*(1-Premissas!F$17*(1+IF($B62="Churn",$C62,0)))+Premissas!F$15*(1+IF($B62="Leads",$C62,0))*Premissas!F$16*(1+IF($B62="Conversão",$C62,0))</f>
        <v>467.10619743552</v>
      </c>
      <c r="H62" s="20" t="n">
        <f aca="false">G62*(1-Premissas!G$17*(1+IF($B62="Churn",$C62,0)))+Premissas!G$15*(1+IF($B62="Leads",$C62,0))*Premissas!G$16*(1+IF($B62="Conversão",$C62,0))</f>
        <v>480.329861091939</v>
      </c>
      <c r="I62" s="20" t="n">
        <f aca="false">H62*(1-Premissas!H$17*(1+IF($B62="Churn",$C62,0)))+Premissas!H$15*(1+IF($B62="Leads",$C62,0))*Premissas!H$16*(1+IF($B62="Conversão",$C62,0))</f>
        <v>491.262604147916</v>
      </c>
      <c r="J62" s="20" t="n">
        <f aca="false">I62*(1-Premissas!I$17*(1+IF($B62="Churn",$C62,0)))+Premissas!I$15*(1+IF($B62="Leads",$C62,0))*Premissas!I$16*(1+IF($B62="Conversão",$C62,0))</f>
        <v>500.454826856662</v>
      </c>
      <c r="K62" s="20" t="n">
        <f aca="false">J62*(1-Premissas!J$17*(1+IF($B62="Churn",$C62,0)))+Premissas!J$15*(1+IF($B62="Leads",$C62,0))*Premissas!J$16*(1+IF($B62="Conversão",$C62,0))</f>
        <v>511.944820665815</v>
      </c>
      <c r="L62" s="20" t="n">
        <f aca="false">K62*(1-Premissas!K$17*(1+IF($B62="Churn",$C62,0)))+Premissas!K$15*(1+IF($B62="Leads",$C62,0))*Premissas!K$16*(1+IF($B62="Conversão",$C62,0))</f>
        <v>525.182034611167</v>
      </c>
      <c r="M62" s="20" t="n">
        <f aca="false">L62*(1-Premissas!L$17*(1+IF($B62="Churn",$C62,0)))+Premissas!L$15*(1+IF($B62="Leads",$C62,0))*Premissas!L$16*(1+IF($B62="Conversão",$C62,0))</f>
        <v>539.128029849722</v>
      </c>
      <c r="N62" s="20" t="n">
        <f aca="false">M62*(1-Premissas!M$17*(1+IF($B62="Churn",$C62,0)))+Premissas!M$15*(1+IF($B62="Leads",$C62,0))*Premissas!M$16*(1+IF($B62="Conversão",$C62,0))</f>
        <v>551.267213193028</v>
      </c>
      <c r="O62" s="20" t="n">
        <f aca="false">N62*(1-Premissas!N$17*(1+IF($B62="Churn",$C62,0)))+Premissas!N$15*(1+IF($B62="Leads",$C62,0))*Premissas!N$16*(1+IF($B62="Conversão",$C62,0))</f>
        <v>556.139334502781</v>
      </c>
      <c r="P62" s="20" t="n">
        <f aca="false">O62</f>
        <v>556.139334502781</v>
      </c>
    </row>
    <row r="63" customFormat="false" ht="15" hidden="false" customHeight="false" outlineLevel="0" collapsed="false">
      <c r="A63" s="18" t="s">
        <v>194</v>
      </c>
      <c r="B63" s="19" t="s">
        <v>76</v>
      </c>
      <c r="C63" s="46" t="n">
        <f aca="false">$B$3</f>
        <v>0.1</v>
      </c>
      <c r="D63" s="24" t="n">
        <f aca="false">D62*Premissas!C$18*(1+IF($B63="Ticket médio",$C63,0))*(1-Premissas!$B$6-Premissas!$B$7)-D62*Premissas!C$19*(1+IF($B63="Custo unitário",$C63,0))-Premissas!C$20*(1+IF($B63="Headcount",$C63,0))*Premissas!C$21*(1+IF($B63="Salário médio",$C63,0))*(1+Premissas!$B$8)-Custos!C21*(1+IF($B63="Despesas fixas",$C63,0))-Premissas!$B$12</f>
        <v>-13699.92</v>
      </c>
      <c r="E63" s="24" t="n">
        <f aca="false">E62*Premissas!D$18*(1+IF($B63="Ticket médio",$C63,0))*(1-Premissas!$B$6-Premissas!$B$7)-E62*Premissas!D$19*(1+IF($B63="Custo unitário",$C63,0))-Premissas!D$20*(1+IF($B63="Headcount",$C63,0))*Premissas!D$21*(1+IF($B63="Salário médio",$C63,0))*(1+Premissas!$B$8)-Custos!D21*(1+IF($B63="Despesas fixas",$C63,0))-Premissas!$B$12</f>
        <v>-3118.54176000005</v>
      </c>
      <c r="F63" s="24" t="n">
        <f aca="false">F62*Premissas!E$18*(1+IF($B63="Ticket médio",$C63,0))*(1-Premissas!$B$6-Premissas!$B$7)-F62*Premissas!E$19*(1+IF($B63="Custo unitário",$C63,0))-Premissas!E$20*(1+IF($B63="Headcount",$C63,0))*Premissas!E$21*(1+IF($B63="Salário médio",$C63,0))*(1+Premissas!$B$8)-Custos!E21*(1+IF($B63="Despesas fixas",$C63,0))-Premissas!$B$12</f>
        <v>10104.04615872</v>
      </c>
      <c r="G63" s="24" t="n">
        <f aca="false">G62*Premissas!F$18*(1+IF($B63="Ticket médio",$C63,0))*(1-Premissas!$B$6-Premissas!$B$7)-G62*Premissas!F$19*(1+IF($B63="Custo unitário",$C63,0))-Premissas!F$20*(1+IF($B63="Headcount",$C63,0))*Premissas!F$21*(1+IF($B63="Salário médio",$C63,0))*(1+Premissas!$B$8)-Custos!F21*(1+IF($B63="Despesas fixas",$C63,0))-Premissas!$B$12</f>
        <v>-2232.26285677194</v>
      </c>
      <c r="H63" s="24" t="n">
        <f aca="false">H62*Premissas!G$18*(1+IF($B63="Ticket médio",$C63,0))*(1-Premissas!$B$6-Premissas!$B$7)-H62*Premissas!G$19*(1+IF($B63="Custo unitário",$C63,0))-Premissas!G$20*(1+IF($B63="Headcount",$C63,0))*Premissas!G$21*(1+IF($B63="Salário médio",$C63,0))*(1+Premissas!$B$8)-Custos!G21*(1+IF($B63="Despesas fixas",$C63,0))-Premissas!$B$12</f>
        <v>10436.0069260771</v>
      </c>
      <c r="I63" s="24" t="n">
        <f aca="false">I62*Premissas!H$18*(1+IF($B63="Ticket médio",$C63,0))*(1-Premissas!$B$6-Premissas!$B$7)-I62*Premissas!H$19*(1+IF($B63="Custo unitário",$C63,0))-Premissas!H$20*(1+IF($B63="Headcount",$C63,0))*Premissas!H$21*(1+IF($B63="Salário médio",$C63,0))*(1+Premissas!$B$8)-Custos!H21*(1+IF($B63="Despesas fixas",$C63,0))-Premissas!$B$12</f>
        <v>20909.5747737035</v>
      </c>
      <c r="J63" s="24" t="n">
        <f aca="false">J62*Premissas!I$18*(1+IF($B63="Ticket médio",$C63,0))*(1-Premissas!$B$6-Premissas!$B$7)-J62*Premissas!I$19*(1+IF($B63="Custo unitário",$C63,0))-Premissas!I$20*(1+IF($B63="Headcount",$C63,0))*Premissas!I$21*(1+IF($B63="Salário médio",$C63,0))*(1+Premissas!$B$8)-Custos!I21*(1+IF($B63="Despesas fixas",$C63,0))-Premissas!$B$12</f>
        <v>-1744.27587131818</v>
      </c>
      <c r="K63" s="24" t="n">
        <f aca="false">K62*Premissas!J$18*(1+IF($B63="Ticket médio",$C63,0))*(1-Premissas!$B$6-Premissas!$B$7)-K62*Premissas!J$19*(1+IF($B63="Custo unitário",$C63,0))-Premissas!J$20*(1+IF($B63="Headcount",$C63,0))*Premissas!J$21*(1+IF($B63="Salário médio",$C63,0))*(1+Premissas!$B$8)-Custos!J21*(1+IF($B63="Despesas fixas",$C63,0))-Premissas!$B$12</f>
        <v>9263.13819785084</v>
      </c>
      <c r="L63" s="24" t="n">
        <f aca="false">L62*Premissas!K$18*(1+IF($B63="Ticket médio",$C63,0))*(1-Premissas!$B$6-Premissas!$B$7)-L62*Premissas!K$19*(1+IF($B63="Custo unitário",$C63,0))-Premissas!K$20*(1+IF($B63="Headcount",$C63,0))*Premissas!K$21*(1+IF($B63="Salário médio",$C63,0))*(1+Premissas!$B$8)-Custos!K21*(1+IF($B63="Despesas fixas",$C63,0))-Premissas!$B$12</f>
        <v>21944.3891574981</v>
      </c>
      <c r="M63" s="24" t="n">
        <f aca="false">M62*Premissas!L$18*(1+IF($B63="Ticket médio",$C63,0))*(1-Premissas!$B$6-Premissas!$B$7)-M62*Premissas!L$19*(1+IF($B63="Custo unitário",$C63,0))-Premissas!L$20*(1+IF($B63="Headcount",$C63,0))*Premissas!L$21*(1+IF($B63="Salário médio",$C63,0))*(1+Premissas!$B$8)-Custos!L21*(1+IF($B63="Despesas fixas",$C63,0))-Premissas!$B$12</f>
        <v>10994.6525960332</v>
      </c>
      <c r="N63" s="24" t="n">
        <f aca="false">N62*Premissas!M$18*(1+IF($B63="Ticket médio",$C63,0))*(1-Premissas!$B$6-Premissas!$B$7)-N62*Premissas!M$19*(1+IF($B63="Custo unitário",$C63,0))-Premissas!M$20*(1+IF($B63="Headcount",$C63,0))*Premissas!M$21*(1+IF($B63="Salário médio",$C63,0))*(1+Premissas!$B$8)-Custos!M21*(1+IF($B63="Despesas fixas",$C63,0))-Premissas!$B$12</f>
        <v>22623.9902389205</v>
      </c>
      <c r="O63" s="24" t="n">
        <f aca="false">O62*Premissas!N$18*(1+IF($B63="Ticket médio",$C63,0))*(1-Premissas!$B$6-Premissas!$B$7)-O62*Premissas!N$19*(1+IF($B63="Custo unitário",$C63,0))-Premissas!N$20*(1+IF($B63="Headcount",$C63,0))*Premissas!N$21*(1+IF($B63="Salário médio",$C63,0))*(1+Premissas!$B$8)-Custos!N21*(1+IF($B63="Despesas fixas",$C63,0))-Premissas!$B$12</f>
        <v>27291.4824536642</v>
      </c>
      <c r="P63" s="24" t="n">
        <f aca="false">SUM(D63:O63)</f>
        <v>112772.280014377</v>
      </c>
    </row>
    <row r="64" customFormat="false" ht="15" hidden="false" customHeight="false" outlineLevel="0" collapsed="false">
      <c r="A64" s="42" t="s">
        <v>195</v>
      </c>
      <c r="B64" s="13" t="s">
        <v>76</v>
      </c>
      <c r="C64" s="47" t="n">
        <f aca="false">$B$3</f>
        <v>0.1</v>
      </c>
      <c r="D64" s="44" t="n">
        <f aca="false">D63-MAX(0,D63)*Premissas!$B$9</f>
        <v>-13699.92</v>
      </c>
      <c r="E64" s="44" t="n">
        <f aca="false">E63-MAX(0,E63)*Premissas!$B$9</f>
        <v>-3118.54176000005</v>
      </c>
      <c r="F64" s="44" t="n">
        <f aca="false">F63-MAX(0,F63)*Premissas!$B$9</f>
        <v>6668.67046475519</v>
      </c>
      <c r="G64" s="44" t="n">
        <f aca="false">G63-MAX(0,G63)*Premissas!$B$9</f>
        <v>-2232.26285677194</v>
      </c>
      <c r="H64" s="44" t="n">
        <f aca="false">H63-MAX(0,H63)*Premissas!$B$9</f>
        <v>6887.7645712109</v>
      </c>
      <c r="I64" s="44" t="n">
        <f aca="false">I63-MAX(0,I63)*Premissas!$B$9</f>
        <v>13800.3193506443</v>
      </c>
      <c r="J64" s="44" t="n">
        <f aca="false">J63-MAX(0,J63)*Premissas!$B$9</f>
        <v>-1744.27587131818</v>
      </c>
      <c r="K64" s="44" t="n">
        <f aca="false">K63-MAX(0,K63)*Premissas!$B$9</f>
        <v>6113.67121058156</v>
      </c>
      <c r="L64" s="44" t="n">
        <f aca="false">L63-MAX(0,L63)*Premissas!$B$9</f>
        <v>14483.2968439488</v>
      </c>
      <c r="M64" s="44" t="n">
        <f aca="false">M63-MAX(0,M63)*Premissas!$B$9</f>
        <v>7256.47071338194</v>
      </c>
      <c r="N64" s="44" t="n">
        <f aca="false">N63-MAX(0,N63)*Premissas!$B$9</f>
        <v>14931.8335576875</v>
      </c>
      <c r="O64" s="44" t="n">
        <f aca="false">O63-MAX(0,O63)*Premissas!$B$9</f>
        <v>18012.3784194184</v>
      </c>
      <c r="P64" s="44" t="n">
        <f aca="false">SUM(D64:O64)</f>
        <v>67359.4046435384</v>
      </c>
    </row>
    <row r="65" customFormat="false" ht="15" hidden="false" customHeight="false" outlineLevel="0" collapsed="false">
      <c r="A65" s="18" t="s">
        <v>196</v>
      </c>
      <c r="B65" s="19" t="s">
        <v>78</v>
      </c>
      <c r="C65" s="46" t="n">
        <f aca="false">-$B$3</f>
        <v>-0.1</v>
      </c>
      <c r="D65" s="20" t="n">
        <f aca="false">Premissas!$B$5*(1-Premissas!C$17*(1+IF($B65="Churn",$C65,0)))+Premissas!C$15*(1+IF($B65="Leads",$C65,0))*Premissas!C$16*(1+IF($B65="Conversão",$C65,0))</f>
        <v>429.76</v>
      </c>
      <c r="E65" s="20" t="n">
        <f aca="false">D65*(1-Premissas!D$17*(1+IF($B65="Churn",$C65,0)))+Premissas!D$15*(1+IF($B65="Leads",$C65,0))*Premissas!D$16*(1+IF($B65="Conversão",$C65,0))</f>
        <v>440.80528</v>
      </c>
      <c r="F65" s="20" t="n">
        <f aca="false">E65*(1-Premissas!E$17*(1+IF($B65="Churn",$C65,0)))+Premissas!E$15*(1+IF($B65="Leads",$C65,0))*Premissas!E$16*(1+IF($B65="Conversão",$C65,0))</f>
        <v>454.60756384</v>
      </c>
      <c r="G65" s="20" t="n">
        <f aca="false">F65*(1-Premissas!F$17*(1+IF($B65="Churn",$C65,0)))+Premissas!F$15*(1+IF($B65="Leads",$C65,0))*Premissas!F$16*(1+IF($B65="Conversão",$C65,0))</f>
        <v>467.10619743552</v>
      </c>
      <c r="H65" s="20" t="n">
        <f aca="false">G65*(1-Premissas!G$17*(1+IF($B65="Churn",$C65,0)))+Premissas!G$15*(1+IF($B65="Leads",$C65,0))*Premissas!G$16*(1+IF($B65="Conversão",$C65,0))</f>
        <v>480.329861091939</v>
      </c>
      <c r="I65" s="20" t="n">
        <f aca="false">H65*(1-Premissas!H$17*(1+IF($B65="Churn",$C65,0)))+Premissas!H$15*(1+IF($B65="Leads",$C65,0))*Premissas!H$16*(1+IF($B65="Conversão",$C65,0))</f>
        <v>491.262604147916</v>
      </c>
      <c r="J65" s="20" t="n">
        <f aca="false">I65*(1-Premissas!I$17*(1+IF($B65="Churn",$C65,0)))+Premissas!I$15*(1+IF($B65="Leads",$C65,0))*Premissas!I$16*(1+IF($B65="Conversão",$C65,0))</f>
        <v>500.454826856662</v>
      </c>
      <c r="K65" s="20" t="n">
        <f aca="false">J65*(1-Premissas!J$17*(1+IF($B65="Churn",$C65,0)))+Premissas!J$15*(1+IF($B65="Leads",$C65,0))*Premissas!J$16*(1+IF($B65="Conversão",$C65,0))</f>
        <v>511.944820665815</v>
      </c>
      <c r="L65" s="20" t="n">
        <f aca="false">K65*(1-Premissas!K$17*(1+IF($B65="Churn",$C65,0)))+Premissas!K$15*(1+IF($B65="Leads",$C65,0))*Premissas!K$16*(1+IF($B65="Conversão",$C65,0))</f>
        <v>525.182034611167</v>
      </c>
      <c r="M65" s="20" t="n">
        <f aca="false">L65*(1-Premissas!L$17*(1+IF($B65="Churn",$C65,0)))+Premissas!L$15*(1+IF($B65="Leads",$C65,0))*Premissas!L$16*(1+IF($B65="Conversão",$C65,0))</f>
        <v>539.128029849722</v>
      </c>
      <c r="N65" s="20" t="n">
        <f aca="false">M65*(1-Premissas!M$17*(1+IF($B65="Churn",$C65,0)))+Premissas!M$15*(1+IF($B65="Leads",$C65,0))*Premissas!M$16*(1+IF($B65="Conversão",$C65,0))</f>
        <v>551.267213193028</v>
      </c>
      <c r="O65" s="20" t="n">
        <f aca="false">N65*(1-Premissas!N$17*(1+IF($B65="Churn",$C65,0)))+Premissas!N$15*(1+IF($B65="Leads",$C65,0))*Premissas!N$16*(1+IF($B65="Conversão",$C65,0))</f>
        <v>556.139334502781</v>
      </c>
      <c r="P65" s="20" t="n">
        <f aca="false">O65</f>
        <v>556.139334502781</v>
      </c>
    </row>
    <row r="66" customFormat="false" ht="15" hidden="false" customHeight="false" outlineLevel="0" collapsed="false">
      <c r="A66" s="18" t="s">
        <v>197</v>
      </c>
      <c r="B66" s="19" t="s">
        <v>78</v>
      </c>
      <c r="C66" s="46" t="n">
        <f aca="false">-$B$3</f>
        <v>-0.1</v>
      </c>
      <c r="D66" s="24" t="n">
        <f aca="false">D65*Premissas!C$18*(1+IF($B66="Ticket médio",$C66,0))*(1-Premissas!$B$6-Premissas!$B$7)-D65*Premissas!C$19*(1+IF($B66="Custo unitário",$C66,0))-Premissas!C$20*(1+IF($B66="Headcount",$C66,0))*Premissas!C$21*(1+IF($B66="Salário médio",$C66,0))*(1+Premissas!$B$8)-Custos!C21*(1+IF($B66="Despesas fixas",$C66,0))-Premissas!$B$12</f>
        <v>24910.08</v>
      </c>
      <c r="E66" s="24" t="n">
        <f aca="false">E65*Premissas!D$18*(1+IF($B66="Ticket médio",$C66,0))*(1-Premissas!$B$6-Premissas!$B$7)-E65*Premissas!D$19*(1+IF($B66="Custo unitário",$C66,0))-Premissas!D$20*(1+IF($B66="Headcount",$C66,0))*Premissas!D$21*(1+IF($B66="Salário médio",$C66,0))*(1+Premissas!$B$8)-Custos!D21*(1+IF($B66="Despesas fixas",$C66,0))-Premissas!$B$12</f>
        <v>35491.45824</v>
      </c>
      <c r="F66" s="24" t="n">
        <f aca="false">F65*Premissas!E$18*(1+IF($B66="Ticket médio",$C66,0))*(1-Premissas!$B$6-Premissas!$B$7)-F65*Premissas!E$19*(1+IF($B66="Custo unitário",$C66,0))-Premissas!E$20*(1+IF($B66="Headcount",$C66,0))*Premissas!E$21*(1+IF($B66="Salário médio",$C66,0))*(1+Premissas!$B$8)-Custos!E21*(1+IF($B66="Despesas fixas",$C66,0))-Premissas!$B$12</f>
        <v>48714.04615872</v>
      </c>
      <c r="G66" s="24" t="n">
        <f aca="false">G65*Premissas!F$18*(1+IF($B66="Ticket médio",$C66,0))*(1-Premissas!$B$6-Premissas!$B$7)-G65*Premissas!F$19*(1+IF($B66="Custo unitário",$C66,0))-Premissas!F$20*(1+IF($B66="Headcount",$C66,0))*Premissas!F$21*(1+IF($B66="Salário médio",$C66,0))*(1+Premissas!$B$8)-Custos!F21*(1+IF($B66="Despesas fixas",$C66,0))-Premissas!$B$12</f>
        <v>38587.7371432281</v>
      </c>
      <c r="H66" s="24" t="n">
        <f aca="false">H65*Premissas!G$18*(1+IF($B66="Ticket médio",$C66,0))*(1-Premissas!$B$6-Premissas!$B$7)-H65*Premissas!G$19*(1+IF($B66="Custo unitário",$C66,0))-Premissas!G$20*(1+IF($B66="Headcount",$C66,0))*Premissas!G$21*(1+IF($B66="Salário médio",$C66,0))*(1+Premissas!$B$8)-Custos!G21*(1+IF($B66="Despesas fixas",$C66,0))-Premissas!$B$12</f>
        <v>51256.0069260771</v>
      </c>
      <c r="I66" s="24" t="n">
        <f aca="false">I65*Premissas!H$18*(1+IF($B66="Ticket médio",$C66,0))*(1-Premissas!$B$6-Premissas!$B$7)-I65*Premissas!H$19*(1+IF($B66="Custo unitário",$C66,0))-Premissas!H$20*(1+IF($B66="Headcount",$C66,0))*Premissas!H$21*(1+IF($B66="Salário médio",$C66,0))*(1+Premissas!$B$8)-Custos!H21*(1+IF($B66="Despesas fixas",$C66,0))-Premissas!$B$12</f>
        <v>61729.5747737035</v>
      </c>
      <c r="J66" s="24" t="n">
        <f aca="false">J65*Premissas!I$18*(1+IF($B66="Ticket médio",$C66,0))*(1-Premissas!$B$6-Premissas!$B$7)-J65*Premissas!I$19*(1+IF($B66="Custo unitário",$C66,0))-Premissas!I$20*(1+IF($B66="Headcount",$C66,0))*Premissas!I$21*(1+IF($B66="Salário médio",$C66,0))*(1+Premissas!$B$8)-Custos!I21*(1+IF($B66="Despesas fixas",$C66,0))-Premissas!$B$12</f>
        <v>42000.7241286819</v>
      </c>
      <c r="K66" s="24" t="n">
        <f aca="false">K65*Premissas!J$18*(1+IF($B66="Ticket médio",$C66,0))*(1-Premissas!$B$6-Premissas!$B$7)-K65*Premissas!J$19*(1+IF($B66="Custo unitário",$C66,0))-Premissas!J$20*(1+IF($B66="Headcount",$C66,0))*Premissas!J$21*(1+IF($B66="Salário médio",$C66,0))*(1+Premissas!$B$8)-Custos!J21*(1+IF($B66="Despesas fixas",$C66,0))-Premissas!$B$12</f>
        <v>53008.1381978509</v>
      </c>
      <c r="L66" s="24" t="n">
        <f aca="false">L65*Premissas!K$18*(1+IF($B66="Ticket médio",$C66,0))*(1-Premissas!$B$6-Premissas!$B$7)-L65*Premissas!K$19*(1+IF($B66="Custo unitário",$C66,0))-Premissas!K$20*(1+IF($B66="Headcount",$C66,0))*Premissas!K$21*(1+IF($B66="Salário médio",$C66,0))*(1+Premissas!$B$8)-Custos!K21*(1+IF($B66="Despesas fixas",$C66,0))-Premissas!$B$12</f>
        <v>65689.3891574982</v>
      </c>
      <c r="M66" s="24" t="n">
        <f aca="false">M65*Premissas!L$18*(1+IF($B66="Ticket médio",$C66,0))*(1-Premissas!$B$6-Premissas!$B$7)-M65*Premissas!L$19*(1+IF($B66="Custo unitário",$C66,0))-Premissas!L$20*(1+IF($B66="Headcount",$C66,0))*Premissas!L$21*(1+IF($B66="Salário médio",$C66,0))*(1+Premissas!$B$8)-Custos!L21*(1+IF($B66="Despesas fixas",$C66,0))-Premissas!$B$12</f>
        <v>56949.6525960333</v>
      </c>
      <c r="N66" s="24" t="n">
        <f aca="false">N65*Premissas!M$18*(1+IF($B66="Ticket médio",$C66,0))*(1-Premissas!$B$6-Premissas!$B$7)-N65*Premissas!M$19*(1+IF($B66="Custo unitário",$C66,0))-Premissas!M$20*(1+IF($B66="Headcount",$C66,0))*Premissas!M$21*(1+IF($B66="Salário médio",$C66,0))*(1+Premissas!$B$8)-Custos!M21*(1+IF($B66="Despesas fixas",$C66,0))-Premissas!$B$12</f>
        <v>68578.9902389206</v>
      </c>
      <c r="O66" s="24" t="n">
        <f aca="false">O65*Premissas!N$18*(1+IF($B66="Ticket médio",$C66,0))*(1-Premissas!$B$6-Premissas!$B$7)-O65*Premissas!N$19*(1+IF($B66="Custo unitário",$C66,0))-Premissas!N$20*(1+IF($B66="Headcount",$C66,0))*Premissas!N$21*(1+IF($B66="Salário médio",$C66,0))*(1+Premissas!$B$8)-Custos!N21*(1+IF($B66="Despesas fixas",$C66,0))-Premissas!$B$12</f>
        <v>73246.4824536643</v>
      </c>
      <c r="P66" s="24" t="n">
        <f aca="false">SUM(D66:O66)</f>
        <v>620162.280014378</v>
      </c>
    </row>
    <row r="67" customFormat="false" ht="15" hidden="false" customHeight="false" outlineLevel="0" collapsed="false">
      <c r="A67" s="42" t="s">
        <v>198</v>
      </c>
      <c r="B67" s="13" t="s">
        <v>78</v>
      </c>
      <c r="C67" s="47" t="n">
        <f aca="false">-$B$3</f>
        <v>-0.1</v>
      </c>
      <c r="D67" s="44" t="n">
        <f aca="false">D66-MAX(0,D66)*Premissas!$B$9</f>
        <v>16440.6528</v>
      </c>
      <c r="E67" s="44" t="n">
        <f aca="false">E66-MAX(0,E66)*Premissas!$B$9</f>
        <v>23424.3624384</v>
      </c>
      <c r="F67" s="44" t="n">
        <f aca="false">F66-MAX(0,F66)*Premissas!$B$9</f>
        <v>32151.2704647552</v>
      </c>
      <c r="G67" s="44" t="n">
        <f aca="false">G66-MAX(0,G66)*Premissas!$B$9</f>
        <v>25467.9065145305</v>
      </c>
      <c r="H67" s="44" t="n">
        <f aca="false">H66-MAX(0,H66)*Premissas!$B$9</f>
        <v>33828.9645712109</v>
      </c>
      <c r="I67" s="44" t="n">
        <f aca="false">I66-MAX(0,I66)*Premissas!$B$9</f>
        <v>40741.5193506443</v>
      </c>
      <c r="J67" s="44" t="n">
        <f aca="false">J66-MAX(0,J66)*Premissas!$B$9</f>
        <v>27720.47792493</v>
      </c>
      <c r="K67" s="44" t="n">
        <f aca="false">K66-MAX(0,K66)*Premissas!$B$9</f>
        <v>34985.3712105816</v>
      </c>
      <c r="L67" s="44" t="n">
        <f aca="false">L66-MAX(0,L66)*Premissas!$B$9</f>
        <v>43354.9968439488</v>
      </c>
      <c r="M67" s="44" t="n">
        <f aca="false">M66-MAX(0,M66)*Premissas!$B$9</f>
        <v>37586.770713382</v>
      </c>
      <c r="N67" s="44" t="n">
        <f aca="false">N66-MAX(0,N66)*Premissas!$B$9</f>
        <v>45262.1335576876</v>
      </c>
      <c r="O67" s="44" t="n">
        <f aca="false">O66-MAX(0,O66)*Premissas!$B$9</f>
        <v>48342.6784194184</v>
      </c>
      <c r="P67" s="44" t="n">
        <f aca="false">SUM(D67:O67)</f>
        <v>409307.104809489</v>
      </c>
    </row>
    <row r="68" customFormat="false" ht="15" hidden="false" customHeight="false" outlineLevel="0" collapsed="false">
      <c r="A68" s="18" t="s">
        <v>199</v>
      </c>
      <c r="B68" s="19" t="s">
        <v>78</v>
      </c>
      <c r="C68" s="46" t="n">
        <f aca="false">$B$3</f>
        <v>0.1</v>
      </c>
      <c r="D68" s="20" t="n">
        <f aca="false">Premissas!$B$5*(1-Premissas!C$17*(1+IF($B68="Churn",$C68,0)))+Premissas!C$15*(1+IF($B68="Leads",$C68,0))*Premissas!C$16*(1+IF($B68="Conversão",$C68,0))</f>
        <v>429.76</v>
      </c>
      <c r="E68" s="20" t="n">
        <f aca="false">D68*(1-Premissas!D$17*(1+IF($B68="Churn",$C68,0)))+Premissas!D$15*(1+IF($B68="Leads",$C68,0))*Premissas!D$16*(1+IF($B68="Conversão",$C68,0))</f>
        <v>440.80528</v>
      </c>
      <c r="F68" s="20" t="n">
        <f aca="false">E68*(1-Premissas!E$17*(1+IF($B68="Churn",$C68,0)))+Premissas!E$15*(1+IF($B68="Leads",$C68,0))*Premissas!E$16*(1+IF($B68="Conversão",$C68,0))</f>
        <v>454.60756384</v>
      </c>
      <c r="G68" s="20" t="n">
        <f aca="false">F68*(1-Premissas!F$17*(1+IF($B68="Churn",$C68,0)))+Premissas!F$15*(1+IF($B68="Leads",$C68,0))*Premissas!F$16*(1+IF($B68="Conversão",$C68,0))</f>
        <v>467.10619743552</v>
      </c>
      <c r="H68" s="20" t="n">
        <f aca="false">G68*(1-Premissas!G$17*(1+IF($B68="Churn",$C68,0)))+Premissas!G$15*(1+IF($B68="Leads",$C68,0))*Premissas!G$16*(1+IF($B68="Conversão",$C68,0))</f>
        <v>480.329861091939</v>
      </c>
      <c r="I68" s="20" t="n">
        <f aca="false">H68*(1-Premissas!H$17*(1+IF($B68="Churn",$C68,0)))+Premissas!H$15*(1+IF($B68="Leads",$C68,0))*Premissas!H$16*(1+IF($B68="Conversão",$C68,0))</f>
        <v>491.262604147916</v>
      </c>
      <c r="J68" s="20" t="n">
        <f aca="false">I68*(1-Premissas!I$17*(1+IF($B68="Churn",$C68,0)))+Premissas!I$15*(1+IF($B68="Leads",$C68,0))*Premissas!I$16*(1+IF($B68="Conversão",$C68,0))</f>
        <v>500.454826856662</v>
      </c>
      <c r="K68" s="20" t="n">
        <f aca="false">J68*(1-Premissas!J$17*(1+IF($B68="Churn",$C68,0)))+Premissas!J$15*(1+IF($B68="Leads",$C68,0))*Premissas!J$16*(1+IF($B68="Conversão",$C68,0))</f>
        <v>511.944820665815</v>
      </c>
      <c r="L68" s="20" t="n">
        <f aca="false">K68*(1-Premissas!K$17*(1+IF($B68="Churn",$C68,0)))+Premissas!K$15*(1+IF($B68="Leads",$C68,0))*Premissas!K$16*(1+IF($B68="Conversão",$C68,0))</f>
        <v>525.182034611167</v>
      </c>
      <c r="M68" s="20" t="n">
        <f aca="false">L68*(1-Premissas!L$17*(1+IF($B68="Churn",$C68,0)))+Premissas!L$15*(1+IF($B68="Leads",$C68,0))*Premissas!L$16*(1+IF($B68="Conversão",$C68,0))</f>
        <v>539.128029849722</v>
      </c>
      <c r="N68" s="20" t="n">
        <f aca="false">M68*(1-Premissas!M$17*(1+IF($B68="Churn",$C68,0)))+Premissas!M$15*(1+IF($B68="Leads",$C68,0))*Premissas!M$16*(1+IF($B68="Conversão",$C68,0))</f>
        <v>551.267213193028</v>
      </c>
      <c r="O68" s="20" t="n">
        <f aca="false">N68*(1-Premissas!N$17*(1+IF($B68="Churn",$C68,0)))+Premissas!N$15*(1+IF($B68="Leads",$C68,0))*Premissas!N$16*(1+IF($B68="Conversão",$C68,0))</f>
        <v>556.139334502781</v>
      </c>
      <c r="P68" s="20" t="n">
        <f aca="false">O68</f>
        <v>556.139334502781</v>
      </c>
    </row>
    <row r="69" customFormat="false" ht="15" hidden="false" customHeight="false" outlineLevel="0" collapsed="false">
      <c r="A69" s="18" t="s">
        <v>200</v>
      </c>
      <c r="B69" s="19" t="s">
        <v>78</v>
      </c>
      <c r="C69" s="46" t="n">
        <f aca="false">$B$3</f>
        <v>0.1</v>
      </c>
      <c r="D69" s="24" t="n">
        <f aca="false">D68*Premissas!C$18*(1+IF($B69="Ticket médio",$C69,0))*(1-Premissas!$B$6-Premissas!$B$7)-D68*Premissas!C$19*(1+IF($B69="Custo unitário",$C69,0))-Premissas!C$20*(1+IF($B69="Headcount",$C69,0))*Premissas!C$21*(1+IF($B69="Salário médio",$C69,0))*(1+Premissas!$B$8)-Custos!C21*(1+IF($B69="Despesas fixas",$C69,0))-Premissas!$B$12</f>
        <v>-3689.91999999998</v>
      </c>
      <c r="E69" s="24" t="n">
        <f aca="false">E68*Premissas!D$18*(1+IF($B69="Ticket médio",$C69,0))*(1-Premissas!$B$6-Premissas!$B$7)-E68*Premissas!D$19*(1+IF($B69="Custo unitário",$C69,0))-Premissas!D$20*(1+IF($B69="Headcount",$C69,0))*Premissas!D$21*(1+IF($B69="Salário médio",$C69,0))*(1+Premissas!$B$8)-Custos!D21*(1+IF($B69="Despesas fixas",$C69,0))-Premissas!$B$12</f>
        <v>6891.45823999995</v>
      </c>
      <c r="F69" s="24" t="n">
        <f aca="false">F68*Premissas!E$18*(1+IF($B69="Ticket médio",$C69,0))*(1-Premissas!$B$6-Premissas!$B$7)-F68*Premissas!E$19*(1+IF($B69="Custo unitário",$C69,0))-Premissas!E$20*(1+IF($B69="Headcount",$C69,0))*Premissas!E$21*(1+IF($B69="Salário médio",$C69,0))*(1+Premissas!$B$8)-Custos!E21*(1+IF($B69="Despesas fixas",$C69,0))-Premissas!$B$12</f>
        <v>20114.04615872</v>
      </c>
      <c r="G69" s="24" t="n">
        <f aca="false">G68*Premissas!F$18*(1+IF($B69="Ticket médio",$C69,0))*(1-Premissas!$B$6-Premissas!$B$7)-G68*Premissas!F$19*(1+IF($B69="Custo unitário",$C69,0))-Premissas!F$20*(1+IF($B69="Headcount",$C69,0))*Premissas!F$21*(1+IF($B69="Salário médio",$C69,0))*(1+Premissas!$B$8)-Custos!F21*(1+IF($B69="Despesas fixas",$C69,0))-Premissas!$B$12</f>
        <v>9987.73714322806</v>
      </c>
      <c r="H69" s="24" t="n">
        <f aca="false">H68*Premissas!G$18*(1+IF($B69="Ticket médio",$C69,0))*(1-Premissas!$B$6-Premissas!$B$7)-H68*Premissas!G$19*(1+IF($B69="Custo unitário",$C69,0))-Premissas!G$20*(1+IF($B69="Headcount",$C69,0))*Premissas!G$21*(1+IF($B69="Salário médio",$C69,0))*(1+Premissas!$B$8)-Custos!G21*(1+IF($B69="Despesas fixas",$C69,0))-Premissas!$B$12</f>
        <v>22656.0069260771</v>
      </c>
      <c r="I69" s="24" t="n">
        <f aca="false">I68*Premissas!H$18*(1+IF($B69="Ticket médio",$C69,0))*(1-Premissas!$B$6-Premissas!$B$7)-I68*Premissas!H$19*(1+IF($B69="Custo unitário",$C69,0))-Premissas!H$20*(1+IF($B69="Headcount",$C69,0))*Premissas!H$21*(1+IF($B69="Salário médio",$C69,0))*(1+Premissas!$B$8)-Custos!H21*(1+IF($B69="Despesas fixas",$C69,0))-Premissas!$B$12</f>
        <v>33129.5747737035</v>
      </c>
      <c r="J69" s="24" t="n">
        <f aca="false">J68*Premissas!I$18*(1+IF($B69="Ticket médio",$C69,0))*(1-Premissas!$B$6-Premissas!$B$7)-J68*Premissas!I$19*(1+IF($B69="Custo unitário",$C69,0))-Premissas!I$20*(1+IF($B69="Headcount",$C69,0))*Premissas!I$21*(1+IF($B69="Salário médio",$C69,0))*(1+Premissas!$B$8)-Custos!I21*(1+IF($B69="Despesas fixas",$C69,0))-Premissas!$B$12</f>
        <v>11970.7241286819</v>
      </c>
      <c r="K69" s="24" t="n">
        <f aca="false">K68*Premissas!J$18*(1+IF($B69="Ticket médio",$C69,0))*(1-Premissas!$B$6-Premissas!$B$7)-K68*Premissas!J$19*(1+IF($B69="Custo unitário",$C69,0))-Premissas!J$20*(1+IF($B69="Headcount",$C69,0))*Premissas!J$21*(1+IF($B69="Salário médio",$C69,0))*(1+Premissas!$B$8)-Custos!J21*(1+IF($B69="Despesas fixas",$C69,0))-Premissas!$B$12</f>
        <v>22978.1381978509</v>
      </c>
      <c r="L69" s="24" t="n">
        <f aca="false">L68*Premissas!K$18*(1+IF($B69="Ticket médio",$C69,0))*(1-Premissas!$B$6-Premissas!$B$7)-L68*Premissas!K$19*(1+IF($B69="Custo unitário",$C69,0))-Premissas!K$20*(1+IF($B69="Headcount",$C69,0))*Premissas!K$21*(1+IF($B69="Salário médio",$C69,0))*(1+Premissas!$B$8)-Custos!K21*(1+IF($B69="Despesas fixas",$C69,0))-Premissas!$B$12</f>
        <v>35659.3891574982</v>
      </c>
      <c r="M69" s="24" t="n">
        <f aca="false">M68*Premissas!L$18*(1+IF($B69="Ticket médio",$C69,0))*(1-Premissas!$B$6-Premissas!$B$7)-M68*Premissas!L$19*(1+IF($B69="Custo unitário",$C69,0))-Premissas!L$20*(1+IF($B69="Headcount",$C69,0))*Premissas!L$21*(1+IF($B69="Salário médio",$C69,0))*(1+Premissas!$B$8)-Custos!L21*(1+IF($B69="Despesas fixas",$C69,0))-Premissas!$B$12</f>
        <v>26919.6525960333</v>
      </c>
      <c r="N69" s="24" t="n">
        <f aca="false">N68*Premissas!M$18*(1+IF($B69="Ticket médio",$C69,0))*(1-Premissas!$B$6-Premissas!$B$7)-N68*Premissas!M$19*(1+IF($B69="Custo unitário",$C69,0))-Premissas!M$20*(1+IF($B69="Headcount",$C69,0))*Premissas!M$21*(1+IF($B69="Salário médio",$C69,0))*(1+Premissas!$B$8)-Custos!M21*(1+IF($B69="Despesas fixas",$C69,0))-Premissas!$B$12</f>
        <v>38548.9902389206</v>
      </c>
      <c r="O69" s="24" t="n">
        <f aca="false">O68*Premissas!N$18*(1+IF($B69="Ticket médio",$C69,0))*(1-Premissas!$B$6-Premissas!$B$7)-O68*Premissas!N$19*(1+IF($B69="Custo unitário",$C69,0))-Premissas!N$20*(1+IF($B69="Headcount",$C69,0))*Premissas!N$21*(1+IF($B69="Salário médio",$C69,0))*(1+Premissas!$B$8)-Custos!N21*(1+IF($B69="Despesas fixas",$C69,0))-Premissas!$B$12</f>
        <v>43216.4824536643</v>
      </c>
      <c r="P69" s="24" t="n">
        <f aca="false">SUM(D69:O69)</f>
        <v>268382.280014378</v>
      </c>
    </row>
    <row r="70" customFormat="false" ht="15" hidden="false" customHeight="false" outlineLevel="0" collapsed="false">
      <c r="A70" s="42" t="s">
        <v>201</v>
      </c>
      <c r="B70" s="13" t="s">
        <v>78</v>
      </c>
      <c r="C70" s="47" t="n">
        <f aca="false">$B$3</f>
        <v>0.1</v>
      </c>
      <c r="D70" s="44" t="n">
        <f aca="false">D69-MAX(0,D69)*Premissas!$B$9</f>
        <v>-3689.91999999998</v>
      </c>
      <c r="E70" s="44" t="n">
        <f aca="false">E69-MAX(0,E69)*Premissas!$B$9</f>
        <v>4548.36243839997</v>
      </c>
      <c r="F70" s="44" t="n">
        <f aca="false">F69-MAX(0,F69)*Premissas!$B$9</f>
        <v>13275.2704647552</v>
      </c>
      <c r="G70" s="44" t="n">
        <f aca="false">G69-MAX(0,G69)*Premissas!$B$9</f>
        <v>6591.90651453052</v>
      </c>
      <c r="H70" s="44" t="n">
        <f aca="false">H69-MAX(0,H69)*Premissas!$B$9</f>
        <v>14952.9645712109</v>
      </c>
      <c r="I70" s="44" t="n">
        <f aca="false">I69-MAX(0,I69)*Premissas!$B$9</f>
        <v>21865.5193506443</v>
      </c>
      <c r="J70" s="44" t="n">
        <f aca="false">J69-MAX(0,J69)*Premissas!$B$9</f>
        <v>7900.67792493004</v>
      </c>
      <c r="K70" s="44" t="n">
        <f aca="false">K69-MAX(0,K69)*Premissas!$B$9</f>
        <v>15165.5712105816</v>
      </c>
      <c r="L70" s="44" t="n">
        <f aca="false">L69-MAX(0,L69)*Premissas!$B$9</f>
        <v>23535.1968439488</v>
      </c>
      <c r="M70" s="44" t="n">
        <f aca="false">M69-MAX(0,M69)*Premissas!$B$9</f>
        <v>17766.970713382</v>
      </c>
      <c r="N70" s="44" t="n">
        <f aca="false">N69-MAX(0,N69)*Premissas!$B$9</f>
        <v>25442.3335576876</v>
      </c>
      <c r="O70" s="44" t="n">
        <f aca="false">O69-MAX(0,O69)*Premissas!$B$9</f>
        <v>28522.8784194184</v>
      </c>
      <c r="P70" s="44" t="n">
        <f aca="false">SUM(D70:O70)</f>
        <v>175877.732009489</v>
      </c>
    </row>
    <row r="72" customFormat="false" ht="15" hidden="false" customHeight="false" outlineLevel="0" collapsed="false">
      <c r="A72" s="8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&amp;LModelo LeverPro · @alyssonguimaraes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2026-11-05T07:35:39Z</dcterms:created>
  <dc:creator>openpyxl</dc:creator>
  <dc:description/>
  <dc:language>en-US</dc:language>
  <cp:lastModifiedBy/>
  <dcterms:modified xsi:type="dcterms:W3CDTF">2026-11-05T04:35:40Z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