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ções" sheetId="1" state="visible" r:id="rId3"/>
    <sheet name="Orçado anual" sheetId="2" state="visible" r:id="rId4"/>
    <sheet name="Realizado" sheetId="3" state="visible" r:id="rId5"/>
    <sheet name="Forecast" sheetId="4" state="visible" r:id="rId6"/>
    <sheet name="Comparativo" sheetId="5" state="visible" r:id="rId7"/>
    <sheet name="Gráfico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<sst xmlns="http://schemas.openxmlformats.org/spreadsheetml/2006/main" count="180" uniqueCount="87">
  <si>
    <t xml:space="preserve">Forecast 9+3 · Modelo LeverPro</t>
  </si>
  <si>
    <t xml:space="preserve">Realizado até o mês de corte + projeção até dezembro, comparado com o orçamento do ano.</t>
  </si>
  <si>
    <t xml:space="preserve">Empresa</t>
  </si>
  <si>
    <t xml:space="preserve">Empresa Exemplo Ltda.</t>
  </si>
  <si>
    <t xml:space="preserve">Ano</t>
  </si>
  <si>
    <t xml:space="preserve">O que é</t>
  </si>
  <si>
    <t xml:space="preserve">O forecast 9+3 junta os 9 meses que já aconteceram com a melhor estimativa para os 3 que faltam. Aqui o mês de corte é configurável: em julho use 7 (7+5), em outubro use 10 (10+2).</t>
  </si>
  <si>
    <t xml:space="preserve">Como preencher</t>
  </si>
  <si>
    <t xml:space="preserve">1. Na aba Orçado anual, lance o orçamento aprovado do ano, mês a mês (custos e despesas com sinal positivo).</t>
  </si>
  <si>
    <t xml:space="preserve">2. Na aba Realizado, lance os meses fechados com o mesmo plano de contas. Deixe em branco os meses que ainda não fecharam.</t>
  </si>
  <si>
    <t xml:space="preserve">3. Na aba Forecast, informe o mês de corte (último mês fechado). Até ele o modelo usa o realizado; depois, a projeção.</t>
  </si>
  <si>
    <t xml:space="preserve">4. Para cada linha, escolha o método de projeção: Média 3 meses (média dos 3 últimos realizados), Orçado ou Manual (valor mensal na coluna Valor manual).</t>
  </si>
  <si>
    <t xml:space="preserve">5. Veja na aba Comparativo o forecast do ano contra o orçado, a diferença em R$ e em % e se o efeito é favorável.</t>
  </si>
  <si>
    <t xml:space="preserve">6. Use a aba Gráfico para levar a leitura mensal (orçado × forecast) para a reunião de resultado.</t>
  </si>
  <si>
    <t xml:space="preserve">Legenda de cores</t>
  </si>
  <si>
    <t xml:space="preserve">Entrada: digite ou troque pelos seus números.</t>
  </si>
  <si>
    <t xml:space="preserve">Fórmula: não digite por cima.</t>
  </si>
  <si>
    <t xml:space="preserve">Subtotal ou total (fórmula).</t>
  </si>
  <si>
    <t xml:space="preserve">Observações</t>
  </si>
  <si>
    <t xml:space="preserve">Os números que vêm preenchidos são de uma empresa fictícia, só para você ver o modelo funcionando. Troque pelos seus.</t>
  </si>
  <si>
    <t xml:space="preserve">Se o mês de corte for maior que os meses de realizado lançados, a aba Forecast mostra um aviso.</t>
  </si>
  <si>
    <t xml:space="preserve">Dúvidas e sugestões: @alyssonguimaraes no Instagram e no LinkedIn.</t>
  </si>
  <si>
    <t xml:space="preserve">Modelo LeverPro · @alyssonguimaraes</t>
  </si>
  <si>
    <t xml:space="preserve">Orçado anual · Empresa Exemplo Ltda. · 2026</t>
  </si>
  <si>
    <t xml:space="preserve">Valores em R$. Custos e despesas com sinal positivo: o modelo subtrai. Células azuis são entradas.</t>
  </si>
  <si>
    <t xml:space="preserve">Empresa:</t>
  </si>
  <si>
    <t xml:space="preserve">Linha da DRE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</si>
  <si>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</si>
  <si>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</si>
  <si>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</si>
  <si>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</si>
  <si>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</si>
  <si>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</si>
  <si>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</si>
  <si>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</si>
  <si>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</si>
  <si>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</si>
  <si>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</si>
  <si>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</si>
  <si>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Total do ano</t>
  </si>
  <si>
    <t xml:space="preserve">Receita bruta</t>
  </si>
  <si>
    <t xml:space="preserve">(−) Deduções e impostos sobre vendas</t>
  </si>
  <si>
    <t xml:space="preserve">Receita líquida</t>
  </si>
  <si>
    <t xml:space="preserve">(−) Custo dos produtos vendidos (CMV)</t>
  </si>
  <si>
    <t xml:space="preserve">Lucro bruto</t>
  </si>
  <si>
    <t xml:space="preserve">(−) Despesas comerciais</t>
  </si>
  <si>
    <t xml:space="preserve">(−) Despesas administrativas</t>
  </si>
  <si>
    <t xml:space="preserve">(−) Despesas com pessoal</t>
  </si>
  <si>
    <t xml:space="preserve">EBITDA</t>
  </si>
  <si>
    <t xml:space="preserve">Margem bruta</t>
  </si>
  <si>
    <t xml:space="preserve">Margem EBITDA</t>
  </si>
  <si>
    <t xml:space="preserve">Realizado · Empresa Exemplo Ltda. · 2026</t>
  </si>
  <si>
    <t xml:space="preserve">Forecast · Empresa Exemplo Ltda. · 2026</t>
  </si>
  <si>
    <t xml:space="preserve">Até o mês de corte: realizado. Depois do corte: projeção pelo método escolhido em cada linha.</t>
  </si>
  <si>
    <t xml:space="preserve">Mês de corte (último mês fechado, 1 a 12)</t>
  </si>
  <si>
    <t xml:space="preserve">Meses de realizado lançados</t>
  </si>
  <si>
    <t xml:space="preserve">Método de projeção</t>
  </si>
  <si>
    <t xml:space="preserve">Valor manual (por mês)</t>
  </si>
  <si>
    <t xml:space="preserve">Média dos 3 últimos realizados</t>
  </si>
  <si>
    <t xml:space="preserve">Origem do número</t>
  </si>
  <si>
    <t xml:space="preserve">Média 3 meses</t>
  </si>
  <si>
    <t xml:space="preserve">Orçado</t>
  </si>
  <si>
    <t xml:space="preserve">Fundo amarelo claro = meses projetados. Para trocar o método, use a lista da coluna B. Valor manual só vale com o método Manual.</t>
  </si>
  <si>
    <t xml:space="preserve">Comparativo do ano · orçado anual × forecast</t>
  </si>
  <si>
    <t xml:space="preserve">Diferença positiva em receita e resultado é favorável; em custo e despesa, desfavorável.</t>
  </si>
  <si>
    <t xml:space="preserve">Natureza</t>
  </si>
  <si>
    <t xml:space="preserve">Orçado anual</t>
  </si>
  <si>
    <t xml:space="preserve">Realizado até o corte</t>
  </si>
  <si>
    <t xml:space="preserve">Projeção restante</t>
  </si>
  <si>
    <t xml:space="preserve">Forecast do ano</t>
  </si>
  <si>
    <t xml:space="preserve">Diferença (R$)</t>
  </si>
  <si>
    <t xml:space="preserve">Diferença (%)</t>
  </si>
  <si>
    <t xml:space="preserve">Efeito no resultado</t>
  </si>
  <si>
    <t xml:space="preserve">Receita</t>
  </si>
  <si>
    <t xml:space="preserve">Custo</t>
  </si>
  <si>
    <t xml:space="preserve">Resultado</t>
  </si>
  <si>
    <t xml:space="preserve">Margens</t>
  </si>
  <si>
    <t xml:space="preserve">Diferença (p.p.)</t>
  </si>
  <si>
    <t xml:space="preserve">Gráfico · orçado × forecast por mês</t>
  </si>
  <si>
    <t xml:space="preserve">Os dados abaixo vêm das abas Orçado anual e Forecast. Os gráficos atualizam sozinhos.</t>
  </si>
  <si>
    <t xml:space="preserve">Mês</t>
  </si>
  <si>
    <t xml:space="preserve">Receita líquida orçada</t>
  </si>
  <si>
    <t xml:space="preserve">Receita líquida forecast</t>
  </si>
  <si>
    <t xml:space="preserve">EBITDA orçado</t>
  </si>
  <si>
    <t xml:space="preserve">EBITDA forecast</t>
  </si>
  <si>
    <t xml:space="preserve">Origem</t>
  </si>
  <si>
    <t xml:space="preserve">Total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</si>
</sst>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&quot;R$ &quot;#,##0;&quot;-R$ &quot;#,##0;\–"/>
    <numFmt numFmtId="166" formatCode="0.0%;\-0.0%;\–"/>
    <numFmt numFmtId="167" formatCode="General"/>
    <numFmt numFmtId="168" formatCode="\+0.0&quot; p.p.&quot;;\-0.0&quot; p.p.&quot;;&quot;0,0 p.p.&quot;"/>
    <numFmt numFmtId="169" formatCode="&quot;R$ &quot;#,##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B3F"/>
      <name val="Calibri"/>
      <family val="0"/>
      <charset val="1"/>
    </font>
    <font>
      <i val="true"/>
      <sz val="10"/>
      <color rgb="FF5E6B8C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color rgb="FF2F5BEA"/>
      <name val="Calibri"/>
      <family val="0"/>
      <charset val="1"/>
    </font>
    <font>
      <b val="true"/>
      <sz val="12"/>
      <color rgb="FF0B1B3F"/>
      <name val="Calibri"/>
      <family val="0"/>
      <charset val="1"/>
    </font>
    <font>
      <sz val="10"/>
      <color rgb="FF000000"/>
      <name val="Calibri"/>
      <family val="0"/>
      <charset val="1"/>
    </font>
    <font>
      <i val="true"/>
      <sz val="9"/>
      <color rgb="FF5E6B8C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10"/>
      <name val="Calibri"/>
      <family val="0"/>
      <charset val="1"/>
    </font>
    <font>
      <b val="true"/>
      <sz val="12"/>
      <color rgb="FF2F5BEA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4F6FB"/>
        <bgColor rgb="FFEEF2FA"/>
      </patternFill>
    </fill>
    <fill>
      <patternFill patternType="solid">
        <fgColor rgb="FFEEF2FA"/>
        <bgColor rgb="FFF4F6FB"/>
      </patternFill>
    </fill>
    <fill>
      <patternFill patternType="solid">
        <fgColor rgb="FF0B1B3F"/>
        <bgColor rgb="FF0033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0B1B3F"/>
      </top>
      <bottom/>
      <diagonal/>
    </border>
    <border diagonalUp="false" diagonalDown="false">
      <left/>
      <right/>
      <top/>
      <bottom style="hair">
        <color rgb="FFD6DEE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F6E5"/>
        </patternFill>
      </fill>
    </dxf>
    <dxf>
      <font>
        <b val="1"/>
        <color rgb="FFC2410C"/>
      </font>
    </dxf>
    <dxf>
      <font>
        <b val="1"/>
        <color rgb="FF0F766E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D9D9D9"/>
      <rgbColor rgb="FF878787"/>
      <rgbColor rgb="FF9999FF"/>
      <rgbColor rgb="FF993366"/>
      <rgbColor rgb="FFFFF6E5"/>
      <rgbColor rgb="FFEEF2FA"/>
      <rgbColor rgb="FF660066"/>
      <rgbColor rgb="FFFF8080"/>
      <rgbColor rgb="FF0066CC"/>
      <rgbColor rgb="FFBFD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6FB"/>
      <rgbColor rgb="FFD6DEEF"/>
      <rgbColor rgb="FFFFFF99"/>
      <rgbColor rgb="FF99CCFF"/>
      <rgbColor rgb="FFFF99CC"/>
      <rgbColor rgb="FFCC99FF"/>
      <rgbColor rgb="FFFFCC99"/>
      <rgbColor rgb="FF2F5BEA"/>
      <rgbColor rgb="FF33CCCC"/>
      <rgbColor rgb="FF99CC00"/>
      <rgbColor rgb="FFFFCC00"/>
      <rgbColor rgb="FFFF9900"/>
      <rgbColor rgb="FFFF6600"/>
      <rgbColor rgb="FF5E6B8C"/>
      <rgbColor rgb="FF969696"/>
      <rgbColor rgb="FF0B1B3F"/>
      <rgbColor rgb="FF339966"/>
      <rgbColor rgb="FF003300"/>
      <rgbColor rgb="FF333300"/>
      <rgbColor rgb="FFC2410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Receita líquida: orçado × forecast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Gráfico!B4</c:f>
              <c:strCache>
                <c:ptCount val="1"/>
                <c:pt idx="0">
                  <c:v>Receita líquida orçada</c:v>
                </c:pt>
              </c:strCache>
            </c:strRef>
          </c:tx>
          <c:spPr>
            <a:solidFill>
              <a:srgbClr val="bfd0ff"/>
            </a:solidFill>
            <a:ln w="28440">
              <a:solidFill>
                <a:srgbClr val="bfd0ff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Gráfico!$A$5:$A$16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Gráfico!$B$5:$B$16</c:f>
              <c:numCache>
                <c:formatCode>"R$ "#,##0;"-R$ "#,##0;\–</c:formatCode>
                <c:ptCount val="12"/>
                <c:pt idx="0">
                  <c:v>870300</c:v>
                </c:pt>
                <c:pt idx="1">
                  <c:v>890100</c:v>
                </c:pt>
                <c:pt idx="2">
                  <c:v>989000</c:v>
                </c:pt>
                <c:pt idx="3">
                  <c:v>959300</c:v>
                </c:pt>
                <c:pt idx="4">
                  <c:v>989000</c:v>
                </c:pt>
                <c:pt idx="5">
                  <c:v>969200</c:v>
                </c:pt>
                <c:pt idx="6">
                  <c:v>1008800</c:v>
                </c:pt>
                <c:pt idx="7">
                  <c:v>1038400</c:v>
                </c:pt>
                <c:pt idx="8">
                  <c:v>1018700</c:v>
                </c:pt>
                <c:pt idx="9">
                  <c:v>1048300</c:v>
                </c:pt>
                <c:pt idx="10">
                  <c:v>1068100</c:v>
                </c:pt>
                <c:pt idx="11">
                  <c:v>1117600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Gráfico!C4</c:f>
              <c:strCache>
                <c:ptCount val="1"/>
                <c:pt idx="0">
                  <c:v>Receita líquida forecast</c:v>
                </c:pt>
              </c:strCache>
            </c:strRef>
          </c:tx>
          <c:spPr>
            <a:solidFill>
              <a:srgbClr val="2f5bea"/>
            </a:solidFill>
            <a:ln w="28080">
              <a:solidFill>
                <a:srgbClr val="2f5be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Gráfico!$A$5:$A$16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Gráfico!$C$5:$C$16</c:f>
              <c:numCache>
                <c:formatCode>"R$ "#,##0;"-R$ "#,##0;\–</c:formatCode>
                <c:ptCount val="12"/>
                <c:pt idx="0">
                  <c:v>841200</c:v>
                </c:pt>
                <c:pt idx="1">
                  <c:v>842600</c:v>
                </c:pt>
                <c:pt idx="2">
                  <c:v>995400</c:v>
                </c:pt>
                <c:pt idx="3">
                  <c:v>898700</c:v>
                </c:pt>
                <c:pt idx="4">
                  <c:v>946100</c:v>
                </c:pt>
                <c:pt idx="5">
                  <c:v>898200</c:v>
                </c:pt>
                <c:pt idx="6">
                  <c:v>955000</c:v>
                </c:pt>
                <c:pt idx="7">
                  <c:v>952000</c:v>
                </c:pt>
                <c:pt idx="8">
                  <c:v>954200</c:v>
                </c:pt>
                <c:pt idx="9">
                  <c:v>953733.333333333</c:v>
                </c:pt>
                <c:pt idx="10">
                  <c:v>953733.333333333</c:v>
                </c:pt>
                <c:pt idx="11">
                  <c:v>953733.333333333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5880209"/>
        <c:axId val="44596303"/>
      </c:lineChart>
      <c:catAx>
        <c:axId val="2588020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596303"/>
        <c:crosses val="autoZero"/>
        <c:auto val="1"/>
        <c:lblAlgn val="ctr"/>
        <c:lblOffset val="100"/>
        <c:noMultiLvlLbl val="0"/>
      </c:catAx>
      <c:valAx>
        <c:axId val="44596303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588020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EBITDA: orçado × forecast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Gráfico!D4</c:f>
              <c:strCache>
                <c:ptCount val="1"/>
                <c:pt idx="0">
                  <c:v>EBITDA orçado</c:v>
                </c:pt>
              </c:strCache>
            </c:strRef>
          </c:tx>
          <c:spPr>
            <a:solidFill>
              <a:srgbClr val="bfd0ff"/>
            </a:solidFill>
            <a:ln w="28440">
              <a:solidFill>
                <a:srgbClr val="bfd0ff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Gráfico!$A$5:$A$16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Gráfico!$D$5:$D$16</c:f>
              <c:numCache>
                <c:formatCode>"R$ "#,##0;"-R$ "#,##0;\–</c:formatCode>
                <c:ptCount val="12"/>
                <c:pt idx="0">
                  <c:v>149300</c:v>
                </c:pt>
                <c:pt idx="1">
                  <c:v>158600</c:v>
                </c:pt>
                <c:pt idx="2">
                  <c:v>205100</c:v>
                </c:pt>
                <c:pt idx="3">
                  <c:v>191100</c:v>
                </c:pt>
                <c:pt idx="4">
                  <c:v>205100</c:v>
                </c:pt>
                <c:pt idx="5">
                  <c:v>195800</c:v>
                </c:pt>
                <c:pt idx="6">
                  <c:v>214400</c:v>
                </c:pt>
                <c:pt idx="7">
                  <c:v>228300</c:v>
                </c:pt>
                <c:pt idx="8">
                  <c:v>219000</c:v>
                </c:pt>
                <c:pt idx="9">
                  <c:v>233000</c:v>
                </c:pt>
                <c:pt idx="10">
                  <c:v>242300</c:v>
                </c:pt>
                <c:pt idx="11">
                  <c:v>182500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Gráfico!E4</c:f>
              <c:strCache>
                <c:ptCount val="1"/>
                <c:pt idx="0">
                  <c:v>EBITDA forecast</c:v>
                </c:pt>
              </c:strCache>
            </c:strRef>
          </c:tx>
          <c:spPr>
            <a:solidFill>
              <a:srgbClr val="2f5bea"/>
            </a:solidFill>
            <a:ln w="28080">
              <a:solidFill>
                <a:srgbClr val="2f5be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Gráfico!$A$5:$A$16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Gráfico!$E$5:$E$16</c:f>
              <c:numCache>
                <c:formatCode>"R$ "#,##0;"-R$ "#,##0;\–</c:formatCode>
                <c:ptCount val="12"/>
                <c:pt idx="0">
                  <c:v>127700</c:v>
                </c:pt>
                <c:pt idx="1">
                  <c:v>122800</c:v>
                </c:pt>
                <c:pt idx="2">
                  <c:v>191700</c:v>
                </c:pt>
                <c:pt idx="3">
                  <c:v>144100</c:v>
                </c:pt>
                <c:pt idx="4">
                  <c:v>160500</c:v>
                </c:pt>
                <c:pt idx="5">
                  <c:v>134900</c:v>
                </c:pt>
                <c:pt idx="6">
                  <c:v>160000</c:v>
                </c:pt>
                <c:pt idx="7">
                  <c:v>151900</c:v>
                </c:pt>
                <c:pt idx="8">
                  <c:v>154300</c:v>
                </c:pt>
                <c:pt idx="9">
                  <c:v>166966.666666667</c:v>
                </c:pt>
                <c:pt idx="10">
                  <c:v>165566.666666667</c:v>
                </c:pt>
                <c:pt idx="11">
                  <c:v>79066.6666666667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92869559"/>
        <c:axId val="30738918"/>
      </c:lineChart>
      <c:catAx>
        <c:axId val="92869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738918"/>
        <c:crosses val="autoZero"/>
        <c:auto val="1"/>
        <c:lblAlgn val="ctr"/>
        <c:lblOffset val="100"/>
        <c:noMultiLvlLbl val="0"/>
      </c:catAx>
      <c:valAx>
        <c:axId val="30738918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86955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Total do ano: orçado × forecast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2f5be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Gráfico!$B$4:$E$4</c:f>
              <c:strCache>
                <c:ptCount val="4"/>
                <c:pt idx="0">
                  <c:v>Receita líquida orçada</c:v>
                </c:pt>
                <c:pt idx="1">
                  <c:v>Receita líquida forecast</c:v>
                </c:pt>
                <c:pt idx="2">
                  <c:v>EBITDA orçado</c:v>
                </c:pt>
                <c:pt idx="3">
                  <c:v>EBITDA forecast</c:v>
                </c:pt>
              </c:strCache>
            </c:strRef>
          </c:cat>
          <c:val>
            <c:numRef>
              <c:f>Gráfico!$B$17:$E$17</c:f>
              <c:numCache>
                <c:formatCode>"R$ "#,##0;"-R$ "#,##0;\–</c:formatCode>
                <c:ptCount val="4"/>
                <c:pt idx="0">
                  <c:v>11966800</c:v>
                </c:pt>
                <c:pt idx="1">
                  <c:v>11144600</c:v>
                </c:pt>
                <c:pt idx="2">
                  <c:v>2424500</c:v>
                </c:pt>
                <c:pt idx="3">
                  <c:v>1759500</c:v>
                </c:pt>
              </c:numCache>
            </c:numRef>
          </c:val>
        </c:ser>
        <c:gapWidth val="150"/>
        <c:overlap val="0"/>
        <c:axId val="42658991"/>
        <c:axId val="8577341"/>
      </c:barChart>
      <c:catAx>
        <c:axId val="426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77341"/>
        <c:crosses val="autoZero"/>
        <c:auto val="1"/>
        <c:lblAlgn val="ctr"/>
        <c:lblOffset val="100"/>
        <c:noMultiLvlLbl val="0"/>
      </c:catAx>
      <c:valAx>
        <c:axId val="8577341"/>
        <c:scaling>
          <c:orientation val="minMax"/>
        </c:scaling>
        <c:delete val="0"/>
        <c:axPos val="l"/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65899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</xdr:row>
      <xdr:rowOff>131040</xdr:rowOff>
    </xdr:from>
    <xdr:to>
      <xdr:col>17</xdr:col>
      <xdr:colOff>364680</xdr:colOff>
      <xdr:row>16</xdr:row>
      <xdr:rowOff>153000</xdr:rowOff>
    </xdr:to>
    <xdr:graphicFrame>
      <xdr:nvGraphicFramePr>
        <xdr:cNvPr id="0" name="Chart 1"/>
        <xdr:cNvGraphicFramePr/>
      </xdr:nvGraphicFramePr>
      <xdr:xfrm>
        <a:off x="6955200" y="57168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19</xdr:row>
      <xdr:rowOff>131040</xdr:rowOff>
    </xdr:from>
    <xdr:to>
      <xdr:col>17</xdr:col>
      <xdr:colOff>364680</xdr:colOff>
      <xdr:row>34</xdr:row>
      <xdr:rowOff>153000</xdr:rowOff>
    </xdr:to>
    <xdr:graphicFrame>
      <xdr:nvGraphicFramePr>
        <xdr:cNvPr id="1" name="Chart 2"/>
        <xdr:cNvGraphicFramePr/>
      </xdr:nvGraphicFramePr>
      <xdr:xfrm>
        <a:off x="6955200" y="400068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18</xdr:row>
      <xdr:rowOff>130680</xdr:rowOff>
    </xdr:from>
    <xdr:to>
      <xdr:col>4</xdr:col>
      <xdr:colOff>669600</xdr:colOff>
      <xdr:row>32</xdr:row>
      <xdr:rowOff>163440</xdr:rowOff>
    </xdr:to>
    <xdr:graphicFrame>
      <xdr:nvGraphicFramePr>
        <xdr:cNvPr id="2" name="Chart 3"/>
        <xdr:cNvGraphicFramePr/>
      </xdr:nvGraphicFramePr>
      <xdr:xfrm>
        <a:off x="0" y="3809880"/>
        <a:ext cx="503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6"/>
    <col collapsed="false" customWidth="true" hidden="false" outlineLevel="0" max="3" min="3" style="0" width="26"/>
    <col collapsed="false" customWidth="true" hidden="false" outlineLevel="0" max="8" min="4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n">
        <v>2026</v>
      </c>
    </row>
    <row r="8" customFormat="false" ht="15" hidden="false" customHeight="false" outlineLevel="0" collapsed="false">
      <c r="B8" s="5" t="s">
        <v>5</v>
      </c>
    </row>
    <row r="9" customFormat="false" ht="30" hidden="false" customHeight="true" outlineLevel="0" collapsed="false">
      <c r="B9" s="6" t="s">
        <v>6</v>
      </c>
      <c r="C9" s="6"/>
      <c r="D9" s="6"/>
      <c r="E9" s="6"/>
      <c r="F9" s="6"/>
      <c r="G9" s="6"/>
      <c r="H9" s="6"/>
    </row>
    <row r="11" customFormat="false" ht="15" hidden="false" customHeight="false" outlineLevel="0" collapsed="false">
      <c r="B11" s="5" t="s">
        <v>7</v>
      </c>
    </row>
    <row r="12" customFormat="false" ht="30" hidden="false" customHeight="true" outlineLevel="0" collapsed="false">
      <c r="B12" s="6" t="s">
        <v>8</v>
      </c>
      <c r="C12" s="6"/>
      <c r="D12" s="6"/>
      <c r="E12" s="6"/>
      <c r="F12" s="6"/>
      <c r="G12" s="6"/>
      <c r="H12" s="6"/>
    </row>
    <row r="13" customFormat="false" ht="30" hidden="false" customHeight="true" outlineLevel="0" collapsed="false">
      <c r="B13" s="6" t="s">
        <v>9</v>
      </c>
      <c r="C13" s="6"/>
      <c r="D13" s="6"/>
      <c r="E13" s="6"/>
      <c r="F13" s="6"/>
      <c r="G13" s="6"/>
      <c r="H13" s="6"/>
    </row>
    <row r="14" customFormat="false" ht="30" hidden="false" customHeight="true" outlineLevel="0" collapsed="false">
      <c r="B14" s="6" t="s">
        <v>10</v>
      </c>
      <c r="C14" s="6"/>
      <c r="D14" s="6"/>
      <c r="E14" s="6"/>
      <c r="F14" s="6"/>
      <c r="G14" s="6"/>
      <c r="H14" s="6"/>
    </row>
    <row r="15" customFormat="false" ht="30" hidden="false" customHeight="true" outlineLevel="0" collapsed="false">
      <c r="B15" s="6" t="s">
        <v>11</v>
      </c>
      <c r="C15" s="6"/>
      <c r="D15" s="6"/>
      <c r="E15" s="6"/>
      <c r="F15" s="6"/>
      <c r="G15" s="6"/>
      <c r="H15" s="6"/>
    </row>
    <row r="16" customFormat="false" ht="30" hidden="false" customHeight="true" outlineLevel="0" collapsed="false">
      <c r="B16" s="6" t="s">
        <v>12</v>
      </c>
      <c r="C16" s="6"/>
      <c r="D16" s="6"/>
      <c r="E16" s="6"/>
      <c r="F16" s="6"/>
      <c r="G16" s="6"/>
      <c r="H16" s="6"/>
    </row>
    <row r="17" customFormat="false" ht="30" hidden="false" customHeight="true" outlineLevel="0" collapsed="false">
      <c r="B17" s="6" t="s">
        <v>13</v>
      </c>
      <c r="C17" s="6"/>
      <c r="D17" s="6"/>
      <c r="E17" s="6"/>
      <c r="F17" s="6"/>
      <c r="G17" s="6"/>
      <c r="H17" s="6"/>
    </row>
    <row r="19" customFormat="false" ht="15" hidden="false" customHeight="false" outlineLevel="0" collapsed="false">
      <c r="B19" s="5" t="s">
        <v>14</v>
      </c>
    </row>
    <row r="20" customFormat="false" ht="15" hidden="false" customHeight="false" outlineLevel="0" collapsed="false">
      <c r="B20" s="7" t="n">
        <v>125000</v>
      </c>
      <c r="C20" s="8" t="s">
        <v>15</v>
      </c>
    </row>
    <row r="21" customFormat="false" ht="15" hidden="false" customHeight="false" outlineLevel="0" collapsed="false">
      <c r="B21" s="9" t="n">
        <f aca="false">B20*2</f>
        <v>250000</v>
      </c>
      <c r="C21" s="8" t="s">
        <v>16</v>
      </c>
    </row>
    <row r="22" customFormat="false" ht="15" hidden="false" customHeight="false" outlineLevel="0" collapsed="false">
      <c r="B22" s="10" t="n">
        <f aca="false">B20+B21</f>
        <v>375000</v>
      </c>
      <c r="C22" s="8" t="s">
        <v>17</v>
      </c>
    </row>
    <row r="24" customFormat="false" ht="15" hidden="false" customHeight="false" outlineLevel="0" collapsed="false">
      <c r="B24" s="5" t="s">
        <v>18</v>
      </c>
    </row>
    <row r="25" customFormat="false" ht="30" hidden="false" customHeight="true" outlineLevel="0" collapsed="false">
      <c r="B25" s="6" t="s">
        <v>19</v>
      </c>
      <c r="C25" s="6"/>
      <c r="D25" s="6"/>
      <c r="E25" s="6"/>
      <c r="F25" s="6"/>
      <c r="G25" s="6"/>
      <c r="H25" s="6"/>
    </row>
    <row r="26" customFormat="false" ht="30" hidden="false" customHeight="true" outlineLevel="0" collapsed="false">
      <c r="B26" s="6" t="s">
        <v>20</v>
      </c>
      <c r="C26" s="6"/>
      <c r="D26" s="6"/>
      <c r="E26" s="6"/>
      <c r="F26" s="6"/>
      <c r="G26" s="6"/>
      <c r="H26" s="6"/>
    </row>
    <row r="28" customFormat="false" ht="15" hidden="false" customHeight="false" outlineLevel="0" collapsed="false">
      <c r="B28" s="3" t="s">
        <v>21</v>
      </c>
    </row>
    <row r="30" customFormat="false" ht="15" hidden="false" customHeight="false" outlineLevel="0" collapsed="false">
      <c r="A30" s="11" t="s">
        <v>22</v>
      </c>
    </row>
  </sheetData>
  <mergeCells count="9">
    <mergeCell ref="B9:H9"/>
    <mergeCell ref="B12:H12"/>
    <mergeCell ref="B13:H13"/>
    <mergeCell ref="B14:H14"/>
    <mergeCell ref="B15:H15"/>
    <mergeCell ref="B16:H16"/>
    <mergeCell ref="B17:H17"/>
    <mergeCell ref="B25:H25"/>
    <mergeCell ref="B26:H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13" min="2" style="0" width="13"/>
    <col collapsed="false" customWidth="true" hidden="false" outlineLevel="0" max="14" min="14" style="0" width="15"/>
  </cols>
  <sheetData>
    <row r="1" customFormat="false" ht="19.7" hidden="false" customHeight="false" outlineLevel="0" collapsed="false">
      <c r="A1" s="1" t="s">
        <v>23</v>
      </c>
    </row>
    <row r="2" customFormat="false" ht="15" hidden="false" customHeight="false" outlineLevel="0" collapsed="false">
      <c r="A2" s="2" t="s">
        <v>24</v>
      </c>
    </row>
    <row r="3" customFormat="false" ht="15" hidden="false" customHeight="false" outlineLevel="0" collapsed="false">
      <c r="A3" s="3" t="s">
        <v>25</v>
      </c>
      <c r="B3" s="12" t="str">
        <f aca="false">Instruções!C5</f>
        <v>Empresa Exemplo Ltda.</v>
      </c>
    </row>
    <row r="5" customFormat="false" ht="30" hidden="false" customHeight="true" outlineLevel="0" collapsed="false">
      <c r="A5" s="13" t="s">
        <v>26</v>
      </c>
      <c r="B5" s="14" t="s">
        <v>27</v>
      </c>
      <c r="C5" s="14" t="s">
        <v>28</v>
      </c>
      <c r="D5" s="14" t="s">
        <v>29</v>
      </c>
      <c r="E5" s="14" t="s">
        <v>30</v>
      </c>
      <c r="F5" s="14" t="s">
        <v>31</v>
      </c>
      <c r="G5" s="14" t="s">
        <v>32</v>
      </c>
      <c r="H5" s="14" t="s">
        <v>33</v>
      </c>
      <c r="I5" s="14" t="s">
        <v>34</v>
      </c>
      <c r="J5" s="14" t="s">
        <v>35</v>
      </c>
      <c r="K5" s="14" t="s">
        <v>36</v>
      </c>
      <c r="L5" s="14" t="s">
        <v>37</v>
      </c>
      <c r="M5" s="14" t="s">
        <v>38</v>
      </c>
      <c r="N5" s="14" t="s">
        <v>39</v>
      </c>
    </row>
    <row r="6" customFormat="false" ht="15" hidden="false" customHeight="false" outlineLevel="0" collapsed="false">
      <c r="A6" s="15" t="s">
        <v>40</v>
      </c>
      <c r="B6" s="16" t="n">
        <v>1012000</v>
      </c>
      <c r="C6" s="16" t="n">
        <v>1035000</v>
      </c>
      <c r="D6" s="16" t="n">
        <v>1150000</v>
      </c>
      <c r="E6" s="16" t="n">
        <v>1115500</v>
      </c>
      <c r="F6" s="16" t="n">
        <v>1150000</v>
      </c>
      <c r="G6" s="16" t="n">
        <v>1127000</v>
      </c>
      <c r="H6" s="16" t="n">
        <v>1173000</v>
      </c>
      <c r="I6" s="16" t="n">
        <v>1207500</v>
      </c>
      <c r="J6" s="16" t="n">
        <v>1184500</v>
      </c>
      <c r="K6" s="16" t="n">
        <v>1219000</v>
      </c>
      <c r="L6" s="16" t="n">
        <v>1242000</v>
      </c>
      <c r="M6" s="16" t="n">
        <v>1299500</v>
      </c>
      <c r="N6" s="17" t="n">
        <f aca="false">SUM(B6:M6)</f>
        <v>13915000</v>
      </c>
    </row>
    <row r="7" customFormat="false" ht="15" hidden="false" customHeight="false" outlineLevel="0" collapsed="false">
      <c r="A7" s="15" t="s">
        <v>41</v>
      </c>
      <c r="B7" s="16" t="n">
        <v>141700</v>
      </c>
      <c r="C7" s="16" t="n">
        <v>144900</v>
      </c>
      <c r="D7" s="16" t="n">
        <v>161000</v>
      </c>
      <c r="E7" s="16" t="n">
        <v>156200</v>
      </c>
      <c r="F7" s="16" t="n">
        <v>161000</v>
      </c>
      <c r="G7" s="16" t="n">
        <v>157800</v>
      </c>
      <c r="H7" s="16" t="n">
        <v>164200</v>
      </c>
      <c r="I7" s="16" t="n">
        <v>169100</v>
      </c>
      <c r="J7" s="16" t="n">
        <v>165800</v>
      </c>
      <c r="K7" s="16" t="n">
        <v>170700</v>
      </c>
      <c r="L7" s="16" t="n">
        <v>173900</v>
      </c>
      <c r="M7" s="16" t="n">
        <v>181900</v>
      </c>
      <c r="N7" s="17" t="n">
        <f aca="false">SUM(B7:M7)</f>
        <v>1948200</v>
      </c>
    </row>
    <row r="8" customFormat="false" ht="15" hidden="false" customHeight="false" outlineLevel="0" collapsed="false">
      <c r="A8" s="18" t="s">
        <v>42</v>
      </c>
      <c r="B8" s="10" t="n">
        <f aca="false">B6-B7</f>
        <v>870300</v>
      </c>
      <c r="C8" s="10" t="n">
        <f aca="false">C6-C7</f>
        <v>890100</v>
      </c>
      <c r="D8" s="10" t="n">
        <f aca="false">D6-D7</f>
        <v>989000</v>
      </c>
      <c r="E8" s="10" t="n">
        <f aca="false">E6-E7</f>
        <v>959300</v>
      </c>
      <c r="F8" s="10" t="n">
        <f aca="false">F6-F7</f>
        <v>989000</v>
      </c>
      <c r="G8" s="10" t="n">
        <f aca="false">G6-G7</f>
        <v>969200</v>
      </c>
      <c r="H8" s="10" t="n">
        <f aca="false">H6-H7</f>
        <v>1008800</v>
      </c>
      <c r="I8" s="10" t="n">
        <f aca="false">I6-I7</f>
        <v>1038400</v>
      </c>
      <c r="J8" s="10" t="n">
        <f aca="false">J6-J7</f>
        <v>1018700</v>
      </c>
      <c r="K8" s="10" t="n">
        <f aca="false">K6-K7</f>
        <v>1048300</v>
      </c>
      <c r="L8" s="10" t="n">
        <f aca="false">L6-L7</f>
        <v>1068100</v>
      </c>
      <c r="M8" s="10" t="n">
        <f aca="false">M6-M7</f>
        <v>1117600</v>
      </c>
      <c r="N8" s="10" t="n">
        <f aca="false">SUM(B8:M8)</f>
        <v>11966800</v>
      </c>
    </row>
    <row r="9" customFormat="false" ht="15" hidden="false" customHeight="false" outlineLevel="0" collapsed="false">
      <c r="A9" s="15" t="s">
        <v>43</v>
      </c>
      <c r="B9" s="16" t="n">
        <v>400300</v>
      </c>
      <c r="C9" s="16" t="n">
        <v>409400</v>
      </c>
      <c r="D9" s="16" t="n">
        <v>454900</v>
      </c>
      <c r="E9" s="16" t="n">
        <v>441300</v>
      </c>
      <c r="F9" s="16" t="n">
        <v>454900</v>
      </c>
      <c r="G9" s="16" t="n">
        <v>445800</v>
      </c>
      <c r="H9" s="16" t="n">
        <v>464000</v>
      </c>
      <c r="I9" s="16" t="n">
        <v>477700</v>
      </c>
      <c r="J9" s="16" t="n">
        <v>468600</v>
      </c>
      <c r="K9" s="16" t="n">
        <v>482200</v>
      </c>
      <c r="L9" s="16" t="n">
        <v>491300</v>
      </c>
      <c r="M9" s="16" t="n">
        <v>514100</v>
      </c>
      <c r="N9" s="17" t="n">
        <f aca="false">SUM(B9:M9)</f>
        <v>5504500</v>
      </c>
    </row>
    <row r="10" customFormat="false" ht="15" hidden="false" customHeight="false" outlineLevel="0" collapsed="false">
      <c r="A10" s="18" t="s">
        <v>44</v>
      </c>
      <c r="B10" s="10" t="n">
        <f aca="false">B8-B9</f>
        <v>470000</v>
      </c>
      <c r="C10" s="10" t="n">
        <f aca="false">C8-C9</f>
        <v>480700</v>
      </c>
      <c r="D10" s="10" t="n">
        <f aca="false">D8-D9</f>
        <v>534100</v>
      </c>
      <c r="E10" s="10" t="n">
        <f aca="false">E8-E9</f>
        <v>518000</v>
      </c>
      <c r="F10" s="10" t="n">
        <f aca="false">F8-F9</f>
        <v>534100</v>
      </c>
      <c r="G10" s="10" t="n">
        <f aca="false">G8-G9</f>
        <v>523400</v>
      </c>
      <c r="H10" s="10" t="n">
        <f aca="false">H8-H9</f>
        <v>544800</v>
      </c>
      <c r="I10" s="10" t="n">
        <f aca="false">I8-I9</f>
        <v>560700</v>
      </c>
      <c r="J10" s="10" t="n">
        <f aca="false">J8-J9</f>
        <v>550100</v>
      </c>
      <c r="K10" s="10" t="n">
        <f aca="false">K8-K9</f>
        <v>566100</v>
      </c>
      <c r="L10" s="10" t="n">
        <f aca="false">L8-L9</f>
        <v>576800</v>
      </c>
      <c r="M10" s="10" t="n">
        <f aca="false">M8-M9</f>
        <v>603500</v>
      </c>
      <c r="N10" s="10" t="n">
        <f aca="false">SUM(B10:M10)</f>
        <v>6462300</v>
      </c>
    </row>
    <row r="11" customFormat="false" ht="15" hidden="false" customHeight="false" outlineLevel="0" collapsed="false">
      <c r="A11" s="15" t="s">
        <v>45</v>
      </c>
      <c r="B11" s="16" t="n">
        <v>60700</v>
      </c>
      <c r="C11" s="16" t="n">
        <v>62100</v>
      </c>
      <c r="D11" s="16" t="n">
        <v>69000</v>
      </c>
      <c r="E11" s="16" t="n">
        <v>66900</v>
      </c>
      <c r="F11" s="16" t="n">
        <v>69000</v>
      </c>
      <c r="G11" s="16" t="n">
        <v>67600</v>
      </c>
      <c r="H11" s="16" t="n">
        <v>70400</v>
      </c>
      <c r="I11" s="16" t="n">
        <v>72400</v>
      </c>
      <c r="J11" s="16" t="n">
        <v>71100</v>
      </c>
      <c r="K11" s="16" t="n">
        <v>73100</v>
      </c>
      <c r="L11" s="16" t="n">
        <v>74500</v>
      </c>
      <c r="M11" s="16" t="n">
        <v>78000</v>
      </c>
      <c r="N11" s="17" t="n">
        <f aca="false">SUM(B11:M11)</f>
        <v>834800</v>
      </c>
    </row>
    <row r="12" customFormat="false" ht="15" hidden="false" customHeight="false" outlineLevel="0" collapsed="false">
      <c r="A12" s="15" t="s">
        <v>46</v>
      </c>
      <c r="B12" s="16" t="n">
        <v>95000</v>
      </c>
      <c r="C12" s="16" t="n">
        <v>95000</v>
      </c>
      <c r="D12" s="16" t="n">
        <v>95000</v>
      </c>
      <c r="E12" s="16" t="n">
        <v>95000</v>
      </c>
      <c r="F12" s="16" t="n">
        <v>95000</v>
      </c>
      <c r="G12" s="16" t="n">
        <v>95000</v>
      </c>
      <c r="H12" s="16" t="n">
        <v>95000</v>
      </c>
      <c r="I12" s="16" t="n">
        <v>95000</v>
      </c>
      <c r="J12" s="16" t="n">
        <v>95000</v>
      </c>
      <c r="K12" s="16" t="n">
        <v>95000</v>
      </c>
      <c r="L12" s="16" t="n">
        <v>95000</v>
      </c>
      <c r="M12" s="16" t="n">
        <v>95000</v>
      </c>
      <c r="N12" s="17" t="n">
        <f aca="false">SUM(B12:M12)</f>
        <v>1140000</v>
      </c>
    </row>
    <row r="13" customFormat="false" ht="15" hidden="false" customHeight="false" outlineLevel="0" collapsed="false">
      <c r="A13" s="15" t="s">
        <v>47</v>
      </c>
      <c r="B13" s="16" t="n">
        <v>165000</v>
      </c>
      <c r="C13" s="16" t="n">
        <v>165000</v>
      </c>
      <c r="D13" s="16" t="n">
        <v>165000</v>
      </c>
      <c r="E13" s="16" t="n">
        <v>165000</v>
      </c>
      <c r="F13" s="16" t="n">
        <v>165000</v>
      </c>
      <c r="G13" s="16" t="n">
        <v>165000</v>
      </c>
      <c r="H13" s="16" t="n">
        <v>165000</v>
      </c>
      <c r="I13" s="16" t="n">
        <v>165000</v>
      </c>
      <c r="J13" s="16" t="n">
        <v>165000</v>
      </c>
      <c r="K13" s="16" t="n">
        <v>165000</v>
      </c>
      <c r="L13" s="16" t="n">
        <v>165000</v>
      </c>
      <c r="M13" s="16" t="n">
        <v>248000</v>
      </c>
      <c r="N13" s="17" t="n">
        <f aca="false">SUM(B13:M13)</f>
        <v>2063000</v>
      </c>
    </row>
    <row r="14" customFormat="false" ht="15" hidden="false" customHeight="false" outlineLevel="0" collapsed="false">
      <c r="A14" s="18" t="s">
        <v>48</v>
      </c>
      <c r="B14" s="10" t="n">
        <f aca="false">B10-B11-B12-B13</f>
        <v>149300</v>
      </c>
      <c r="C14" s="10" t="n">
        <f aca="false">C10-C11-C12-C13</f>
        <v>158600</v>
      </c>
      <c r="D14" s="10" t="n">
        <f aca="false">D10-D11-D12-D13</f>
        <v>205100</v>
      </c>
      <c r="E14" s="10" t="n">
        <f aca="false">E10-E11-E12-E13</f>
        <v>191100</v>
      </c>
      <c r="F14" s="10" t="n">
        <f aca="false">F10-F11-F12-F13</f>
        <v>205100</v>
      </c>
      <c r="G14" s="10" t="n">
        <f aca="false">G10-G11-G12-G13</f>
        <v>195800</v>
      </c>
      <c r="H14" s="10" t="n">
        <f aca="false">H10-H11-H12-H13</f>
        <v>214400</v>
      </c>
      <c r="I14" s="10" t="n">
        <f aca="false">I10-I11-I12-I13</f>
        <v>228300</v>
      </c>
      <c r="J14" s="10" t="n">
        <f aca="false">J10-J11-J12-J13</f>
        <v>219000</v>
      </c>
      <c r="K14" s="10" t="n">
        <f aca="false">K10-K11-K12-K13</f>
        <v>233000</v>
      </c>
      <c r="L14" s="10" t="n">
        <f aca="false">L10-L11-L12-L13</f>
        <v>242300</v>
      </c>
      <c r="M14" s="10" t="n">
        <f aca="false">M10-M11-M12-M13</f>
        <v>182500</v>
      </c>
      <c r="N14" s="10" t="n">
        <f aca="false">SUM(B14:M14)</f>
        <v>2424500</v>
      </c>
    </row>
    <row r="15" customFormat="false" ht="15" hidden="false" customHeight="false" outlineLevel="0" collapsed="false">
      <c r="A15" s="19" t="s">
        <v>49</v>
      </c>
      <c r="B15" s="20" t="n">
        <f aca="false">IFERROR(B10/B8,0)</f>
        <v>0.540043663104677</v>
      </c>
      <c r="C15" s="20" t="n">
        <f aca="false">IFERROR(C10/C8,0)</f>
        <v>0.540051679586563</v>
      </c>
      <c r="D15" s="20" t="n">
        <f aca="false">IFERROR(D10/D8,0)</f>
        <v>0.540040444893832</v>
      </c>
      <c r="E15" s="20" t="n">
        <f aca="false">IFERROR(E10/E8,0)</f>
        <v>0.539977066611071</v>
      </c>
      <c r="F15" s="20" t="n">
        <f aca="false">IFERROR(F10/F8,0)</f>
        <v>0.540040444893832</v>
      </c>
      <c r="G15" s="20" t="n">
        <f aca="false">IFERROR(G10/G8,0)</f>
        <v>0.540033016921172</v>
      </c>
      <c r="H15" s="20" t="n">
        <f aca="false">IFERROR(H10/H8,0)</f>
        <v>0.540047581284695</v>
      </c>
      <c r="I15" s="20" t="n">
        <f aca="false">IFERROR(I10/I8,0)</f>
        <v>0.539965331278891</v>
      </c>
      <c r="J15" s="20" t="n">
        <f aca="false">IFERROR(J10/J8,0)</f>
        <v>0.540001963286542</v>
      </c>
      <c r="K15" s="20" t="n">
        <f aca="false">IFERROR(K10/K8,0)</f>
        <v>0.540017170657255</v>
      </c>
      <c r="L15" s="20" t="n">
        <f aca="false">IFERROR(L10/L8,0)</f>
        <v>0.540024342290048</v>
      </c>
      <c r="M15" s="20" t="n">
        <f aca="false">IFERROR(M10/M8,0)</f>
        <v>0.539996420901933</v>
      </c>
      <c r="N15" s="21" t="n">
        <f aca="false">IFERROR(N10/N8,0)</f>
        <v>0.540019052712505</v>
      </c>
    </row>
    <row r="16" customFormat="false" ht="15" hidden="false" customHeight="false" outlineLevel="0" collapsed="false">
      <c r="A16" s="19" t="s">
        <v>50</v>
      </c>
      <c r="B16" s="20" t="n">
        <f aca="false">IFERROR(B14/B8,0)</f>
        <v>0.171550040216017</v>
      </c>
      <c r="C16" s="20" t="n">
        <f aca="false">IFERROR(C14/C8,0)</f>
        <v>0.178182226716099</v>
      </c>
      <c r="D16" s="20" t="n">
        <f aca="false">IFERROR(D14/D8,0)</f>
        <v>0.207381193124368</v>
      </c>
      <c r="E16" s="20" t="n">
        <f aca="false">IFERROR(E14/E8,0)</f>
        <v>0.199207755655165</v>
      </c>
      <c r="F16" s="20" t="n">
        <f aca="false">IFERROR(F14/F8,0)</f>
        <v>0.207381193124368</v>
      </c>
      <c r="G16" s="20" t="n">
        <f aca="false">IFERROR(G14/G8,0)</f>
        <v>0.202022286421791</v>
      </c>
      <c r="H16" s="20" t="n">
        <f aca="false">IFERROR(H14/H8,0)</f>
        <v>0.212529738302934</v>
      </c>
      <c r="I16" s="20" t="n">
        <f aca="false">IFERROR(I14/I8,0)</f>
        <v>0.219857473035439</v>
      </c>
      <c r="J16" s="20" t="n">
        <f aca="false">IFERROR(J14/J8,0)</f>
        <v>0.214979876312948</v>
      </c>
      <c r="K16" s="20" t="n">
        <f aca="false">IFERROR(K14/K8,0)</f>
        <v>0.222264618906802</v>
      </c>
      <c r="L16" s="20" t="n">
        <f aca="false">IFERROR(L14/L8,0)</f>
        <v>0.226851418406516</v>
      </c>
      <c r="M16" s="20" t="n">
        <f aca="false">IFERROR(M14/M8,0)</f>
        <v>0.163296349319971</v>
      </c>
      <c r="N16" s="21" t="n">
        <f aca="false">IFERROR(N14/N8,0)</f>
        <v>0.202602199418391</v>
      </c>
    </row>
    <row r="19" customFormat="false" ht="15" hidden="false" customHeight="false" outlineLevel="0" collapsed="false">
      <c r="A19" s="11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13" min="2" style="0" width="13"/>
    <col collapsed="false" customWidth="true" hidden="false" outlineLevel="0" max="14" min="14" style="0" width="15"/>
  </cols>
  <sheetData>
    <row r="1" customFormat="false" ht="19.7" hidden="false" customHeight="false" outlineLevel="0" collapsed="false">
      <c r="A1" s="1" t="s">
        <v>51</v>
      </c>
    </row>
    <row r="2" customFormat="false" ht="15" hidden="false" customHeight="false" outlineLevel="0" collapsed="false">
      <c r="A2" s="2" t="s">
        <v>24</v>
      </c>
    </row>
    <row r="3" customFormat="false" ht="15" hidden="false" customHeight="false" outlineLevel="0" collapsed="false">
      <c r="A3" s="3" t="s">
        <v>25</v>
      </c>
      <c r="B3" s="12" t="str">
        <f aca="false">Instruções!C5</f>
        <v>Empresa Exemplo Ltda.</v>
      </c>
    </row>
    <row r="5" customFormat="false" ht="30" hidden="false" customHeight="true" outlineLevel="0" collapsed="false">
      <c r="A5" s="13" t="s">
        <v>26</v>
      </c>
      <c r="B5" s="14" t="s">
        <v>27</v>
      </c>
      <c r="C5" s="14" t="s">
        <v>28</v>
      </c>
      <c r="D5" s="14" t="s">
        <v>29</v>
      </c>
      <c r="E5" s="14" t="s">
        <v>30</v>
      </c>
      <c r="F5" s="14" t="s">
        <v>31</v>
      </c>
      <c r="G5" s="14" t="s">
        <v>32</v>
      </c>
      <c r="H5" s="14" t="s">
        <v>33</v>
      </c>
      <c r="I5" s="14" t="s">
        <v>34</v>
      </c>
      <c r="J5" s="14" t="s">
        <v>35</v>
      </c>
      <c r="K5" s="14" t="s">
        <v>36</v>
      </c>
      <c r="L5" s="14" t="s">
        <v>37</v>
      </c>
      <c r="M5" s="14" t="s">
        <v>38</v>
      </c>
      <c r="N5" s="14" t="s">
        <v>39</v>
      </c>
    </row>
    <row r="6" customFormat="false" ht="15" hidden="false" customHeight="false" outlineLevel="0" collapsed="false">
      <c r="A6" s="15" t="s">
        <v>40</v>
      </c>
      <c r="B6" s="16" t="n">
        <v>981600</v>
      </c>
      <c r="C6" s="16" t="n">
        <v>983200</v>
      </c>
      <c r="D6" s="16" t="n">
        <v>1161500</v>
      </c>
      <c r="E6" s="16" t="n">
        <v>1048600</v>
      </c>
      <c r="F6" s="16" t="n">
        <v>1104000</v>
      </c>
      <c r="G6" s="16" t="n">
        <v>1048100</v>
      </c>
      <c r="H6" s="16" t="n">
        <v>1114400</v>
      </c>
      <c r="I6" s="16" t="n">
        <v>1110900</v>
      </c>
      <c r="J6" s="16" t="n">
        <v>1113400</v>
      </c>
      <c r="K6" s="16"/>
      <c r="L6" s="16"/>
      <c r="M6" s="16"/>
      <c r="N6" s="17" t="n">
        <f aca="false">SUM(B6:M6)</f>
        <v>9665700</v>
      </c>
    </row>
    <row r="7" customFormat="false" ht="15" hidden="false" customHeight="false" outlineLevel="0" collapsed="false">
      <c r="A7" s="15" t="s">
        <v>41</v>
      </c>
      <c r="B7" s="16" t="n">
        <v>140400</v>
      </c>
      <c r="C7" s="16" t="n">
        <v>140600</v>
      </c>
      <c r="D7" s="16" t="n">
        <v>166100</v>
      </c>
      <c r="E7" s="16" t="n">
        <v>149900</v>
      </c>
      <c r="F7" s="16" t="n">
        <v>157900</v>
      </c>
      <c r="G7" s="16" t="n">
        <v>149900</v>
      </c>
      <c r="H7" s="16" t="n">
        <v>159400</v>
      </c>
      <c r="I7" s="16" t="n">
        <v>158900</v>
      </c>
      <c r="J7" s="16" t="n">
        <v>159200</v>
      </c>
      <c r="K7" s="16"/>
      <c r="L7" s="16"/>
      <c r="M7" s="16"/>
      <c r="N7" s="17" t="n">
        <f aca="false">SUM(B7:M7)</f>
        <v>1382300</v>
      </c>
    </row>
    <row r="8" customFormat="false" ht="15" hidden="false" customHeight="false" outlineLevel="0" collapsed="false">
      <c r="A8" s="18" t="s">
        <v>42</v>
      </c>
      <c r="B8" s="10" t="n">
        <f aca="false">IF(COUNT(B6,B7,B9,B11,B12,B13)=0,"",B6-B7)</f>
        <v>841200</v>
      </c>
      <c r="C8" s="10" t="n">
        <f aca="false">IF(COUNT(C6,C7,C9,C11,C12,C13)=0,"",C6-C7)</f>
        <v>842600</v>
      </c>
      <c r="D8" s="10" t="n">
        <f aca="false">IF(COUNT(D6,D7,D9,D11,D12,D13)=0,"",D6-D7)</f>
        <v>995400</v>
      </c>
      <c r="E8" s="10" t="n">
        <f aca="false">IF(COUNT(E6,E7,E9,E11,E12,E13)=0,"",E6-E7)</f>
        <v>898700</v>
      </c>
      <c r="F8" s="10" t="n">
        <f aca="false">IF(COUNT(F6,F7,F9,F11,F12,F13)=0,"",F6-F7)</f>
        <v>946100</v>
      </c>
      <c r="G8" s="10" t="n">
        <f aca="false">IF(COUNT(G6,G7,G9,G11,G12,G13)=0,"",G6-G7)</f>
        <v>898200</v>
      </c>
      <c r="H8" s="10" t="n">
        <f aca="false">IF(COUNT(H6,H7,H9,H11,H12,H13)=0,"",H6-H7)</f>
        <v>955000</v>
      </c>
      <c r="I8" s="10" t="n">
        <f aca="false">IF(COUNT(I6,I7,I9,I11,I12,I13)=0,"",I6-I7)</f>
        <v>952000</v>
      </c>
      <c r="J8" s="10" t="n">
        <f aca="false">IF(COUNT(J6,J7,J9,J11,J12,J13)=0,"",J6-J7)</f>
        <v>954200</v>
      </c>
      <c r="K8" s="10" t="str">
        <f aca="false">IF(COUNT(K6,K7,K9,K11,K12,K13)=0,"",K6-K7)</f>
        <v/>
      </c>
      <c r="L8" s="10" t="str">
        <f aca="false">IF(COUNT(L6,L7,L9,L11,L12,L13)=0,"",L6-L7)</f>
        <v/>
      </c>
      <c r="M8" s="10" t="str">
        <f aca="false">IF(COUNT(M6,M7,M9,M11,M12,M13)=0,"",M6-M7)</f>
        <v/>
      </c>
      <c r="N8" s="10" t="n">
        <f aca="false">SUM(B8:M8)</f>
        <v>8283400</v>
      </c>
    </row>
    <row r="9" customFormat="false" ht="15" hidden="false" customHeight="false" outlineLevel="0" collapsed="false">
      <c r="A9" s="15" t="s">
        <v>43</v>
      </c>
      <c r="B9" s="16" t="n">
        <v>391200</v>
      </c>
      <c r="C9" s="16" t="n">
        <v>396000</v>
      </c>
      <c r="D9" s="16" t="n">
        <v>465800</v>
      </c>
      <c r="E9" s="16" t="n">
        <v>424200</v>
      </c>
      <c r="F9" s="16" t="n">
        <v>444700</v>
      </c>
      <c r="G9" s="16" t="n">
        <v>426600</v>
      </c>
      <c r="H9" s="16" t="n">
        <v>451700</v>
      </c>
      <c r="I9" s="16" t="n">
        <v>455100</v>
      </c>
      <c r="J9" s="16" t="n">
        <v>454200</v>
      </c>
      <c r="K9" s="16"/>
      <c r="L9" s="16"/>
      <c r="M9" s="16"/>
      <c r="N9" s="17" t="n">
        <f aca="false">SUM(B9:M9)</f>
        <v>3909500</v>
      </c>
    </row>
    <row r="10" customFormat="false" ht="15" hidden="false" customHeight="false" outlineLevel="0" collapsed="false">
      <c r="A10" s="18" t="s">
        <v>44</v>
      </c>
      <c r="B10" s="10" t="n">
        <f aca="false">IF(COUNT(B6,B7,B9,B11,B12,B13)=0,"",B8-B9)</f>
        <v>450000</v>
      </c>
      <c r="C10" s="10" t="n">
        <f aca="false">IF(COUNT(C6,C7,C9,C11,C12,C13)=0,"",C8-C9)</f>
        <v>446600</v>
      </c>
      <c r="D10" s="10" t="n">
        <f aca="false">IF(COUNT(D6,D7,D9,D11,D12,D13)=0,"",D8-D9)</f>
        <v>529600</v>
      </c>
      <c r="E10" s="10" t="n">
        <f aca="false">IF(COUNT(E6,E7,E9,E11,E12,E13)=0,"",E8-E9)</f>
        <v>474500</v>
      </c>
      <c r="F10" s="10" t="n">
        <f aca="false">IF(COUNT(F6,F7,F9,F11,F12,F13)=0,"",F8-F9)</f>
        <v>501400</v>
      </c>
      <c r="G10" s="10" t="n">
        <f aca="false">IF(COUNT(G6,G7,G9,G11,G12,G13)=0,"",G8-G9)</f>
        <v>471600</v>
      </c>
      <c r="H10" s="10" t="n">
        <f aca="false">IF(COUNT(H6,H7,H9,H11,H12,H13)=0,"",H8-H9)</f>
        <v>503300</v>
      </c>
      <c r="I10" s="10" t="n">
        <f aca="false">IF(COUNT(I6,I7,I9,I11,I12,I13)=0,"",I8-I9)</f>
        <v>496900</v>
      </c>
      <c r="J10" s="10" t="n">
        <f aca="false">IF(COUNT(J6,J7,J9,J11,J12,J13)=0,"",J8-J9)</f>
        <v>500000</v>
      </c>
      <c r="K10" s="10" t="str">
        <f aca="false">IF(COUNT(K6,K7,K9,K11,K12,K13)=0,"",K8-K9)</f>
        <v/>
      </c>
      <c r="L10" s="10" t="str">
        <f aca="false">IF(COUNT(L6,L7,L9,L11,L12,L13)=0,"",L8-L9)</f>
        <v/>
      </c>
      <c r="M10" s="10" t="str">
        <f aca="false">IF(COUNT(M6,M7,M9,M11,M12,M13)=0,"",M8-M9)</f>
        <v/>
      </c>
      <c r="N10" s="10" t="n">
        <f aca="false">SUM(B10:M10)</f>
        <v>4373900</v>
      </c>
    </row>
    <row r="11" customFormat="false" ht="15" hidden="false" customHeight="false" outlineLevel="0" collapsed="false">
      <c r="A11" s="15" t="s">
        <v>45</v>
      </c>
      <c r="B11" s="16" t="n">
        <v>60900</v>
      </c>
      <c r="C11" s="16" t="n">
        <v>61000</v>
      </c>
      <c r="D11" s="16" t="n">
        <v>72000</v>
      </c>
      <c r="E11" s="16" t="n">
        <v>65000</v>
      </c>
      <c r="F11" s="16" t="n">
        <v>68400</v>
      </c>
      <c r="G11" s="16" t="n">
        <v>65000</v>
      </c>
      <c r="H11" s="16" t="n">
        <v>69100</v>
      </c>
      <c r="I11" s="16" t="n">
        <v>68900</v>
      </c>
      <c r="J11" s="16" t="n">
        <v>69000</v>
      </c>
      <c r="K11" s="16"/>
      <c r="L11" s="16"/>
      <c r="M11" s="16"/>
      <c r="N11" s="17" t="n">
        <f aca="false">SUM(B11:M11)</f>
        <v>599300</v>
      </c>
    </row>
    <row r="12" customFormat="false" ht="15" hidden="false" customHeight="false" outlineLevel="0" collapsed="false">
      <c r="A12" s="15" t="s">
        <v>46</v>
      </c>
      <c r="B12" s="16" t="n">
        <v>96400</v>
      </c>
      <c r="C12" s="16" t="n">
        <v>97800</v>
      </c>
      <c r="D12" s="16" t="n">
        <v>99100</v>
      </c>
      <c r="E12" s="16" t="n">
        <v>98600</v>
      </c>
      <c r="F12" s="16" t="n">
        <v>101200</v>
      </c>
      <c r="G12" s="16" t="n">
        <v>100400</v>
      </c>
      <c r="H12" s="16" t="n">
        <v>102900</v>
      </c>
      <c r="I12" s="16" t="n">
        <v>103500</v>
      </c>
      <c r="J12" s="16" t="n">
        <v>104100</v>
      </c>
      <c r="K12" s="16"/>
      <c r="L12" s="16"/>
      <c r="M12" s="16"/>
      <c r="N12" s="17" t="n">
        <f aca="false">SUM(B12:M12)</f>
        <v>904000</v>
      </c>
    </row>
    <row r="13" customFormat="false" ht="15" hidden="false" customHeight="false" outlineLevel="0" collapsed="false">
      <c r="A13" s="15" t="s">
        <v>47</v>
      </c>
      <c r="B13" s="16" t="n">
        <v>165000</v>
      </c>
      <c r="C13" s="16" t="n">
        <v>165000</v>
      </c>
      <c r="D13" s="16" t="n">
        <v>166800</v>
      </c>
      <c r="E13" s="16" t="n">
        <v>166800</v>
      </c>
      <c r="F13" s="16" t="n">
        <v>171300</v>
      </c>
      <c r="G13" s="16" t="n">
        <v>171300</v>
      </c>
      <c r="H13" s="16" t="n">
        <v>171300</v>
      </c>
      <c r="I13" s="16" t="n">
        <v>172600</v>
      </c>
      <c r="J13" s="16" t="n">
        <v>172600</v>
      </c>
      <c r="K13" s="16"/>
      <c r="L13" s="16"/>
      <c r="M13" s="16"/>
      <c r="N13" s="17" t="n">
        <f aca="false">SUM(B13:M13)</f>
        <v>1522700</v>
      </c>
    </row>
    <row r="14" customFormat="false" ht="15" hidden="false" customHeight="false" outlineLevel="0" collapsed="false">
      <c r="A14" s="18" t="s">
        <v>48</v>
      </c>
      <c r="B14" s="10" t="n">
        <f aca="false">IF(COUNT(B6,B7,B9,B11,B12,B13)=0,"",B10-B11-B12-B13)</f>
        <v>127700</v>
      </c>
      <c r="C14" s="10" t="n">
        <f aca="false">IF(COUNT(C6,C7,C9,C11,C12,C13)=0,"",C10-C11-C12-C13)</f>
        <v>122800</v>
      </c>
      <c r="D14" s="10" t="n">
        <f aca="false">IF(COUNT(D6,D7,D9,D11,D12,D13)=0,"",D10-D11-D12-D13)</f>
        <v>191700</v>
      </c>
      <c r="E14" s="10" t="n">
        <f aca="false">IF(COUNT(E6,E7,E9,E11,E12,E13)=0,"",E10-E11-E12-E13)</f>
        <v>144100</v>
      </c>
      <c r="F14" s="10" t="n">
        <f aca="false">IF(COUNT(F6,F7,F9,F11,F12,F13)=0,"",F10-F11-F12-F13)</f>
        <v>160500</v>
      </c>
      <c r="G14" s="10" t="n">
        <f aca="false">IF(COUNT(G6,G7,G9,G11,G12,G13)=0,"",G10-G11-G12-G13)</f>
        <v>134900</v>
      </c>
      <c r="H14" s="10" t="n">
        <f aca="false">IF(COUNT(H6,H7,H9,H11,H12,H13)=0,"",H10-H11-H12-H13)</f>
        <v>160000</v>
      </c>
      <c r="I14" s="10" t="n">
        <f aca="false">IF(COUNT(I6,I7,I9,I11,I12,I13)=0,"",I10-I11-I12-I13)</f>
        <v>151900</v>
      </c>
      <c r="J14" s="10" t="n">
        <f aca="false">IF(COUNT(J6,J7,J9,J11,J12,J13)=0,"",J10-J11-J12-J13)</f>
        <v>154300</v>
      </c>
      <c r="K14" s="10" t="str">
        <f aca="false">IF(COUNT(K6,K7,K9,K11,K12,K13)=0,"",K10-K11-K12-K13)</f>
        <v/>
      </c>
      <c r="L14" s="10" t="str">
        <f aca="false">IF(COUNT(L6,L7,L9,L11,L12,L13)=0,"",L10-L11-L12-L13)</f>
        <v/>
      </c>
      <c r="M14" s="10" t="str">
        <f aca="false">IF(COUNT(M6,M7,M9,M11,M12,M13)=0,"",M10-M11-M12-M13)</f>
        <v/>
      </c>
      <c r="N14" s="10" t="n">
        <f aca="false">SUM(B14:M14)</f>
        <v>1347900</v>
      </c>
    </row>
    <row r="15" customFormat="false" ht="15" hidden="false" customHeight="false" outlineLevel="0" collapsed="false">
      <c r="A15" s="19" t="s">
        <v>49</v>
      </c>
      <c r="B15" s="20" t="n">
        <f aca="false">IF(COUNT(B6,B7,B9,B11,B12,B13)=0,"",IFERROR(B10/B8,0))</f>
        <v>0.534950071326676</v>
      </c>
      <c r="C15" s="20" t="n">
        <f aca="false">IF(COUNT(C6,C7,C9,C11,C12,C13)=0,"",IFERROR(C10/C8,0))</f>
        <v>0.530026109660574</v>
      </c>
      <c r="D15" s="20" t="n">
        <f aca="false">IF(COUNT(D6,D7,D9,D11,D12,D13)=0,"",IFERROR(D10/D8,0))</f>
        <v>0.532047418123368</v>
      </c>
      <c r="E15" s="20" t="n">
        <f aca="false">IF(COUNT(E6,E7,E9,E11,E12,E13)=0,"",IFERROR(E10/E8,0))</f>
        <v>0.527984867030155</v>
      </c>
      <c r="F15" s="20" t="n">
        <f aca="false">IF(COUNT(F6,F7,F9,F11,F12,F13)=0,"",IFERROR(F10/F8,0))</f>
        <v>0.529965119966177</v>
      </c>
      <c r="G15" s="20" t="n">
        <f aca="false">IF(COUNT(G6,G7,G9,G11,G12,G13)=0,"",IFERROR(G10/G8,0))</f>
        <v>0.525050100200401</v>
      </c>
      <c r="H15" s="20" t="n">
        <f aca="false">IF(COUNT(H6,H7,H9,H11,H12,H13)=0,"",IFERROR(H10/H8,0))</f>
        <v>0.527015706806283</v>
      </c>
      <c r="I15" s="20" t="n">
        <f aca="false">IF(COUNT(I6,I7,I9,I11,I12,I13)=0,"",IFERROR(I10/I8,0))</f>
        <v>0.521953781512605</v>
      </c>
      <c r="J15" s="20" t="n">
        <f aca="false">IF(COUNT(J6,J7,J9,J11,J12,J13)=0,"",IFERROR(J10/J8,0))</f>
        <v>0.523999161601341</v>
      </c>
      <c r="K15" s="20" t="str">
        <f aca="false">IF(COUNT(K6,K7,K9,K11,K12,K13)=0,"",IFERROR(K10/K8,0))</f>
        <v/>
      </c>
      <c r="L15" s="20" t="str">
        <f aca="false">IF(COUNT(L6,L7,L9,L11,L12,L13)=0,"",IFERROR(L10/L8,0))</f>
        <v/>
      </c>
      <c r="M15" s="20" t="str">
        <f aca="false">IF(COUNT(M6,M7,M9,M11,M12,M13)=0,"",IFERROR(M10/M8,0))</f>
        <v/>
      </c>
      <c r="N15" s="21" t="n">
        <f aca="false">IFERROR(N10/N8,0)</f>
        <v>0.528031967549557</v>
      </c>
    </row>
    <row r="16" customFormat="false" ht="15" hidden="false" customHeight="false" outlineLevel="0" collapsed="false">
      <c r="A16" s="19" t="s">
        <v>50</v>
      </c>
      <c r="B16" s="20" t="n">
        <f aca="false">IF(COUNT(B6,B7,B9,B11,B12,B13)=0,"",IFERROR(B14/B8,0))</f>
        <v>0.151806942463148</v>
      </c>
      <c r="C16" s="20" t="n">
        <f aca="false">IF(COUNT(C6,C7,C9,C11,C12,C13)=0,"",IFERROR(C14/C8,0))</f>
        <v>0.145739378115357</v>
      </c>
      <c r="D16" s="20" t="n">
        <f aca="false">IF(COUNT(D6,D7,D9,D11,D12,D13)=0,"",IFERROR(D14/D8,0))</f>
        <v>0.192585895117541</v>
      </c>
      <c r="E16" s="20" t="n">
        <f aca="false">IF(COUNT(E6,E7,E9,E11,E12,E13)=0,"",IFERROR(E14/E8,0))</f>
        <v>0.160342717258262</v>
      </c>
      <c r="F16" s="20" t="n">
        <f aca="false">IF(COUNT(F6,F7,F9,F11,F12,F13)=0,"",IFERROR(F14/F8,0))</f>
        <v>0.169643800866716</v>
      </c>
      <c r="G16" s="20" t="n">
        <f aca="false">IF(COUNT(G6,G7,G9,G11,G12,G13)=0,"",IFERROR(G14/G8,0))</f>
        <v>0.150189267423736</v>
      </c>
      <c r="H16" s="20" t="n">
        <f aca="false">IF(COUNT(H6,H7,H9,H11,H12,H13)=0,"",IFERROR(H14/H8,0))</f>
        <v>0.167539267015707</v>
      </c>
      <c r="I16" s="20" t="n">
        <f aca="false">IF(COUNT(I6,I7,I9,I11,I12,I13)=0,"",IFERROR(I14/I8,0))</f>
        <v>0.159558823529412</v>
      </c>
      <c r="J16" s="20" t="n">
        <f aca="false">IF(COUNT(J6,J7,J9,J11,J12,J13)=0,"",IFERROR(J14/J8,0))</f>
        <v>0.161706141270174</v>
      </c>
      <c r="K16" s="20" t="str">
        <f aca="false">IF(COUNT(K6,K7,K9,K11,K12,K13)=0,"",IFERROR(K14/K8,0))</f>
        <v/>
      </c>
      <c r="L16" s="20" t="str">
        <f aca="false">IF(COUNT(L6,L7,L9,L11,L12,L13)=0,"",IFERROR(L14/L8,0))</f>
        <v/>
      </c>
      <c r="M16" s="20" t="str">
        <f aca="false">IF(COUNT(M6,M7,M9,M11,M12,M13)=0,"",IFERROR(M14/M8,0))</f>
        <v/>
      </c>
      <c r="N16" s="21" t="n">
        <f aca="false">IFERROR(N14/N8,0)</f>
        <v>0.162723036434314</v>
      </c>
    </row>
    <row r="19" customFormat="false" ht="15" hidden="false" customHeight="false" outlineLevel="0" collapsed="false">
      <c r="A19" s="11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8" topLeftCell="E9" activePane="bottomRight" state="frozen"/>
      <selection pane="topLeft" activeCell="A1" activeCellId="0" sqref="A1"/>
      <selection pane="topRight" activeCell="E1" activeCellId="0" sqref="E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7"/>
    <col collapsed="false" customWidth="true" hidden="false" outlineLevel="0" max="3" min="3" style="0" width="14"/>
    <col collapsed="false" customWidth="true" hidden="false" outlineLevel="0" max="4" min="4" style="0" width="15"/>
    <col collapsed="false" customWidth="true" hidden="false" outlineLevel="0" max="16" min="5" style="0" width="12.5"/>
    <col collapsed="false" customWidth="true" hidden="false" outlineLevel="0" max="17" min="17" style="0" width="15"/>
  </cols>
  <sheetData>
    <row r="1" customFormat="false" ht="19.7" hidden="false" customHeight="false" outlineLevel="0" collapsed="false">
      <c r="A1" s="1" t="s">
        <v>52</v>
      </c>
    </row>
    <row r="2" customFormat="false" ht="15" hidden="false" customHeight="false" outlineLevel="0" collapsed="false">
      <c r="A2" s="2" t="s">
        <v>53</v>
      </c>
    </row>
    <row r="4" customFormat="false" ht="15" hidden="false" customHeight="false" outlineLevel="0" collapsed="false">
      <c r="A4" s="3" t="s">
        <v>54</v>
      </c>
      <c r="B4" s="22" t="n">
        <v>9</v>
      </c>
      <c r="C4" s="3" t="str">
        <f aca="false">IFERROR(CHOOSE($B$4,"Jan","Fev","Mar","Abr","Mai","Jun","Jul","Ago","Set","Out","Nov","Dez")&amp;" · forecast "&amp;$B$4&amp;"+"&amp;(12-$B$4),"Use de 1 a 12")</f>
        <v>Set · forecast 9+3</v>
      </c>
    </row>
    <row r="5" customFormat="false" ht="15" hidden="false" customHeight="false" outlineLevel="0" collapsed="false">
      <c r="A5" s="0" t="s">
        <v>55</v>
      </c>
      <c r="B5" s="23" t="n">
        <f aca="false">COUNT(Realizado!B6:M6)</f>
        <v>9</v>
      </c>
      <c r="C5" s="0" t="str">
        <f aca="false">IF($B$4&gt;$B$5,"Atenção: há meses até o corte sem realizado lançado","Realizado completo até o corte")</f>
        <v>Realizado completo até o corte</v>
      </c>
    </row>
    <row r="7" customFormat="false" ht="30" hidden="false" customHeight="true" outlineLevel="0" collapsed="false">
      <c r="A7" s="13" t="s">
        <v>26</v>
      </c>
      <c r="B7" s="14" t="s">
        <v>56</v>
      </c>
      <c r="C7" s="14" t="s">
        <v>57</v>
      </c>
      <c r="D7" s="14" t="s">
        <v>58</v>
      </c>
      <c r="E7" s="14" t="s">
        <v>27</v>
      </c>
      <c r="F7" s="14" t="s">
        <v>28</v>
      </c>
      <c r="G7" s="14" t="s">
        <v>29</v>
      </c>
      <c r="H7" s="14" t="s">
        <v>30</v>
      </c>
      <c r="I7" s="14" t="s">
        <v>31</v>
      </c>
      <c r="J7" s="14" t="s">
        <v>32</v>
      </c>
      <c r="K7" s="14" t="s">
        <v>33</v>
      </c>
      <c r="L7" s="14" t="s">
        <v>34</v>
      </c>
      <c r="M7" s="14" t="s">
        <v>35</v>
      </c>
      <c r="N7" s="14" t="s">
        <v>36</v>
      </c>
      <c r="O7" s="14" t="s">
        <v>37</v>
      </c>
      <c r="P7" s="14" t="s">
        <v>38</v>
      </c>
      <c r="Q7" s="14" t="s">
        <v>39</v>
      </c>
    </row>
    <row r="8" customFormat="false" ht="15" hidden="false" customHeight="false" outlineLevel="0" collapsed="false">
      <c r="A8" s="11" t="s">
        <v>59</v>
      </c>
      <c r="E8" s="24" t="str">
        <f aca="false">IF(1&lt;=$B$4,"Realizado","Projeção")</f>
        <v>Realizado</v>
      </c>
      <c r="F8" s="24" t="str">
        <f aca="false">IF(2&lt;=$B$4,"Realizado","Projeção")</f>
        <v>Realizado</v>
      </c>
      <c r="G8" s="24" t="str">
        <f aca="false">IF(3&lt;=$B$4,"Realizado","Projeção")</f>
        <v>Realizado</v>
      </c>
      <c r="H8" s="24" t="str">
        <f aca="false">IF(4&lt;=$B$4,"Realizado","Projeção")</f>
        <v>Realizado</v>
      </c>
      <c r="I8" s="24" t="str">
        <f aca="false">IF(5&lt;=$B$4,"Realizado","Projeção")</f>
        <v>Realizado</v>
      </c>
      <c r="J8" s="24" t="str">
        <f aca="false">IF(6&lt;=$B$4,"Realizado","Projeção")</f>
        <v>Realizado</v>
      </c>
      <c r="K8" s="24" t="str">
        <f aca="false">IF(7&lt;=$B$4,"Realizado","Projeção")</f>
        <v>Realizado</v>
      </c>
      <c r="L8" s="24" t="str">
        <f aca="false">IF(8&lt;=$B$4,"Realizado","Projeção")</f>
        <v>Realizado</v>
      </c>
      <c r="M8" s="24" t="str">
        <f aca="false">IF(9&lt;=$B$4,"Realizado","Projeção")</f>
        <v>Realizado</v>
      </c>
      <c r="N8" s="24" t="str">
        <f aca="false">IF(10&lt;=$B$4,"Realizado","Projeção")</f>
        <v>Projeção</v>
      </c>
      <c r="O8" s="24" t="str">
        <f aca="false">IF(11&lt;=$B$4,"Realizado","Projeção")</f>
        <v>Projeção</v>
      </c>
      <c r="P8" s="24" t="str">
        <f aca="false">IF(12&lt;=$B$4,"Realizado","Projeção")</f>
        <v>Projeção</v>
      </c>
    </row>
    <row r="9" customFormat="false" ht="15" hidden="false" customHeight="false" outlineLevel="0" collapsed="false">
      <c r="A9" s="15" t="s">
        <v>40</v>
      </c>
      <c r="B9" s="25" t="s">
        <v>60</v>
      </c>
      <c r="C9" s="16"/>
      <c r="D9" s="26" t="n">
        <f aca="false">IFERROR(IF($B$4&gt;=3,AVERAGE(INDEX(Realizado!$B$6:$M$6,1,$B$4-2):INDEX(Realizado!$B$6:$M$6,1,$B$4)),AVERAGE(INDEX(Realizado!$B$6:$M$6,1,1):INDEX(Realizado!$B$6:$M$6,1,MAX(1,$B$4)))),0)</f>
        <v>1112900</v>
      </c>
      <c r="E9" s="26" t="n">
        <f aca="false">IF(1&lt;=$B$4,Realizado!B6,IF($B9="Orçado",'Orçado anual'!B6,IF($B9="Manual",$C9,$D9)))</f>
        <v>981600</v>
      </c>
      <c r="F9" s="26" t="n">
        <f aca="false">IF(2&lt;=$B$4,Realizado!C6,IF($B9="Orçado",'Orçado anual'!C6,IF($B9="Manual",$C9,$D9)))</f>
        <v>983200</v>
      </c>
      <c r="G9" s="26" t="n">
        <f aca="false">IF(3&lt;=$B$4,Realizado!D6,IF($B9="Orçado",'Orçado anual'!D6,IF($B9="Manual",$C9,$D9)))</f>
        <v>1161500</v>
      </c>
      <c r="H9" s="26" t="n">
        <f aca="false">IF(4&lt;=$B$4,Realizado!E6,IF($B9="Orçado",'Orçado anual'!E6,IF($B9="Manual",$C9,$D9)))</f>
        <v>1048600</v>
      </c>
      <c r="I9" s="26" t="n">
        <f aca="false">IF(5&lt;=$B$4,Realizado!F6,IF($B9="Orçado",'Orçado anual'!F6,IF($B9="Manual",$C9,$D9)))</f>
        <v>1104000</v>
      </c>
      <c r="J9" s="26" t="n">
        <f aca="false">IF(6&lt;=$B$4,Realizado!G6,IF($B9="Orçado",'Orçado anual'!G6,IF($B9="Manual",$C9,$D9)))</f>
        <v>1048100</v>
      </c>
      <c r="K9" s="26" t="n">
        <f aca="false">IF(7&lt;=$B$4,Realizado!H6,IF($B9="Orçado",'Orçado anual'!H6,IF($B9="Manual",$C9,$D9)))</f>
        <v>1114400</v>
      </c>
      <c r="L9" s="26" t="n">
        <f aca="false">IF(8&lt;=$B$4,Realizado!I6,IF($B9="Orçado",'Orçado anual'!I6,IF($B9="Manual",$C9,$D9)))</f>
        <v>1110900</v>
      </c>
      <c r="M9" s="26" t="n">
        <f aca="false">IF(9&lt;=$B$4,Realizado!J6,IF($B9="Orçado",'Orçado anual'!J6,IF($B9="Manual",$C9,$D9)))</f>
        <v>1113400</v>
      </c>
      <c r="N9" s="26" t="n">
        <f aca="false">IF(10&lt;=$B$4,Realizado!K6,IF($B9="Orçado",'Orçado anual'!K6,IF($B9="Manual",$C9,$D9)))</f>
        <v>1112900</v>
      </c>
      <c r="O9" s="26" t="n">
        <f aca="false">IF(11&lt;=$B$4,Realizado!L6,IF($B9="Orçado",'Orçado anual'!L6,IF($B9="Manual",$C9,$D9)))</f>
        <v>1112900</v>
      </c>
      <c r="P9" s="26" t="n">
        <f aca="false">IF(12&lt;=$B$4,Realizado!M6,IF($B9="Orçado",'Orçado anual'!M6,IF($B9="Manual",$C9,$D9)))</f>
        <v>1112900</v>
      </c>
      <c r="Q9" s="17" t="n">
        <f aca="false">SUM(E9:P9)</f>
        <v>13004400</v>
      </c>
    </row>
    <row r="10" customFormat="false" ht="15" hidden="false" customHeight="false" outlineLevel="0" collapsed="false">
      <c r="A10" s="15" t="s">
        <v>41</v>
      </c>
      <c r="B10" s="25" t="s">
        <v>60</v>
      </c>
      <c r="C10" s="16"/>
      <c r="D10" s="26" t="n">
        <f aca="false">IFERROR(IF($B$4&gt;=3,AVERAGE(INDEX(Realizado!$B$7:$M$7,1,$B$4-2):INDEX(Realizado!$B$7:$M$7,1,$B$4)),AVERAGE(INDEX(Realizado!$B$7:$M$7,1,1):INDEX(Realizado!$B$7:$M$7,1,MAX(1,$B$4)))),0)</f>
        <v>159166.666666667</v>
      </c>
      <c r="E10" s="26" t="n">
        <f aca="false">IF(1&lt;=$B$4,Realizado!B7,IF($B10="Orçado",'Orçado anual'!B7,IF($B10="Manual",$C10,$D10)))</f>
        <v>140400</v>
      </c>
      <c r="F10" s="26" t="n">
        <f aca="false">IF(2&lt;=$B$4,Realizado!C7,IF($B10="Orçado",'Orçado anual'!C7,IF($B10="Manual",$C10,$D10)))</f>
        <v>140600</v>
      </c>
      <c r="G10" s="26" t="n">
        <f aca="false">IF(3&lt;=$B$4,Realizado!D7,IF($B10="Orçado",'Orçado anual'!D7,IF($B10="Manual",$C10,$D10)))</f>
        <v>166100</v>
      </c>
      <c r="H10" s="26" t="n">
        <f aca="false">IF(4&lt;=$B$4,Realizado!E7,IF($B10="Orçado",'Orçado anual'!E7,IF($B10="Manual",$C10,$D10)))</f>
        <v>149900</v>
      </c>
      <c r="I10" s="26" t="n">
        <f aca="false">IF(5&lt;=$B$4,Realizado!F7,IF($B10="Orçado",'Orçado anual'!F7,IF($B10="Manual",$C10,$D10)))</f>
        <v>157900</v>
      </c>
      <c r="J10" s="26" t="n">
        <f aca="false">IF(6&lt;=$B$4,Realizado!G7,IF($B10="Orçado",'Orçado anual'!G7,IF($B10="Manual",$C10,$D10)))</f>
        <v>149900</v>
      </c>
      <c r="K10" s="26" t="n">
        <f aca="false">IF(7&lt;=$B$4,Realizado!H7,IF($B10="Orçado",'Orçado anual'!H7,IF($B10="Manual",$C10,$D10)))</f>
        <v>159400</v>
      </c>
      <c r="L10" s="26" t="n">
        <f aca="false">IF(8&lt;=$B$4,Realizado!I7,IF($B10="Orçado",'Orçado anual'!I7,IF($B10="Manual",$C10,$D10)))</f>
        <v>158900</v>
      </c>
      <c r="M10" s="26" t="n">
        <f aca="false">IF(9&lt;=$B$4,Realizado!J7,IF($B10="Orçado",'Orçado anual'!J7,IF($B10="Manual",$C10,$D10)))</f>
        <v>159200</v>
      </c>
      <c r="N10" s="26" t="n">
        <f aca="false">IF(10&lt;=$B$4,Realizado!K7,IF($B10="Orçado",'Orçado anual'!K7,IF($B10="Manual",$C10,$D10)))</f>
        <v>159166.666666667</v>
      </c>
      <c r="O10" s="26" t="n">
        <f aca="false">IF(11&lt;=$B$4,Realizado!L7,IF($B10="Orçado",'Orçado anual'!L7,IF($B10="Manual",$C10,$D10)))</f>
        <v>159166.666666667</v>
      </c>
      <c r="P10" s="26" t="n">
        <f aca="false">IF(12&lt;=$B$4,Realizado!M7,IF($B10="Orçado",'Orçado anual'!M7,IF($B10="Manual",$C10,$D10)))</f>
        <v>159166.666666667</v>
      </c>
      <c r="Q10" s="17" t="n">
        <f aca="false">SUM(E10:P10)</f>
        <v>1859800</v>
      </c>
    </row>
    <row r="11" customFormat="false" ht="15" hidden="false" customHeight="false" outlineLevel="0" collapsed="false">
      <c r="A11" s="18" t="s">
        <v>42</v>
      </c>
      <c r="B11" s="18"/>
      <c r="C11" s="18"/>
      <c r="D11" s="18"/>
      <c r="E11" s="10" t="n">
        <f aca="false">E9-E10</f>
        <v>841200</v>
      </c>
      <c r="F11" s="10" t="n">
        <f aca="false">F9-F10</f>
        <v>842600</v>
      </c>
      <c r="G11" s="10" t="n">
        <f aca="false">G9-G10</f>
        <v>995400</v>
      </c>
      <c r="H11" s="10" t="n">
        <f aca="false">H9-H10</f>
        <v>898700</v>
      </c>
      <c r="I11" s="10" t="n">
        <f aca="false">I9-I10</f>
        <v>946100</v>
      </c>
      <c r="J11" s="10" t="n">
        <f aca="false">J9-J10</f>
        <v>898200</v>
      </c>
      <c r="K11" s="10" t="n">
        <f aca="false">K9-K10</f>
        <v>955000</v>
      </c>
      <c r="L11" s="10" t="n">
        <f aca="false">L9-L10</f>
        <v>952000</v>
      </c>
      <c r="M11" s="10" t="n">
        <f aca="false">M9-M10</f>
        <v>954200</v>
      </c>
      <c r="N11" s="10" t="n">
        <f aca="false">N9-N10</f>
        <v>953733.333333333</v>
      </c>
      <c r="O11" s="10" t="n">
        <f aca="false">O9-O10</f>
        <v>953733.333333333</v>
      </c>
      <c r="P11" s="10" t="n">
        <f aca="false">P9-P10</f>
        <v>953733.333333333</v>
      </c>
      <c r="Q11" s="10" t="n">
        <f aca="false">SUM(E11:P11)</f>
        <v>11144600</v>
      </c>
    </row>
    <row r="12" customFormat="false" ht="15" hidden="false" customHeight="false" outlineLevel="0" collapsed="false">
      <c r="A12" s="15" t="s">
        <v>43</v>
      </c>
      <c r="B12" s="25" t="s">
        <v>60</v>
      </c>
      <c r="C12" s="16"/>
      <c r="D12" s="26" t="n">
        <f aca="false">IFERROR(IF($B$4&gt;=3,AVERAGE(INDEX(Realizado!$B$9:$M$9,1,$B$4-2):INDEX(Realizado!$B$9:$M$9,1,$B$4)),AVERAGE(INDEX(Realizado!$B$9:$M$9,1,1):INDEX(Realizado!$B$9:$M$9,1,MAX(1,$B$4)))),0)</f>
        <v>453666.666666667</v>
      </c>
      <c r="E12" s="26" t="n">
        <f aca="false">IF(1&lt;=$B$4,Realizado!B9,IF($B12="Orçado",'Orçado anual'!B9,IF($B12="Manual",$C12,$D12)))</f>
        <v>391200</v>
      </c>
      <c r="F12" s="26" t="n">
        <f aca="false">IF(2&lt;=$B$4,Realizado!C9,IF($B12="Orçado",'Orçado anual'!C9,IF($B12="Manual",$C12,$D12)))</f>
        <v>396000</v>
      </c>
      <c r="G12" s="26" t="n">
        <f aca="false">IF(3&lt;=$B$4,Realizado!D9,IF($B12="Orçado",'Orçado anual'!D9,IF($B12="Manual",$C12,$D12)))</f>
        <v>465800</v>
      </c>
      <c r="H12" s="26" t="n">
        <f aca="false">IF(4&lt;=$B$4,Realizado!E9,IF($B12="Orçado",'Orçado anual'!E9,IF($B12="Manual",$C12,$D12)))</f>
        <v>424200</v>
      </c>
      <c r="I12" s="26" t="n">
        <f aca="false">IF(5&lt;=$B$4,Realizado!F9,IF($B12="Orçado",'Orçado anual'!F9,IF($B12="Manual",$C12,$D12)))</f>
        <v>444700</v>
      </c>
      <c r="J12" s="26" t="n">
        <f aca="false">IF(6&lt;=$B$4,Realizado!G9,IF($B12="Orçado",'Orçado anual'!G9,IF($B12="Manual",$C12,$D12)))</f>
        <v>426600</v>
      </c>
      <c r="K12" s="26" t="n">
        <f aca="false">IF(7&lt;=$B$4,Realizado!H9,IF($B12="Orçado",'Orçado anual'!H9,IF($B12="Manual",$C12,$D12)))</f>
        <v>451700</v>
      </c>
      <c r="L12" s="26" t="n">
        <f aca="false">IF(8&lt;=$B$4,Realizado!I9,IF($B12="Orçado",'Orçado anual'!I9,IF($B12="Manual",$C12,$D12)))</f>
        <v>455100</v>
      </c>
      <c r="M12" s="26" t="n">
        <f aca="false">IF(9&lt;=$B$4,Realizado!J9,IF($B12="Orçado",'Orçado anual'!J9,IF($B12="Manual",$C12,$D12)))</f>
        <v>454200</v>
      </c>
      <c r="N12" s="26" t="n">
        <f aca="false">IF(10&lt;=$B$4,Realizado!K9,IF($B12="Orçado",'Orçado anual'!K9,IF($B12="Manual",$C12,$D12)))</f>
        <v>453666.666666667</v>
      </c>
      <c r="O12" s="26" t="n">
        <f aca="false">IF(11&lt;=$B$4,Realizado!L9,IF($B12="Orçado",'Orçado anual'!L9,IF($B12="Manual",$C12,$D12)))</f>
        <v>453666.666666667</v>
      </c>
      <c r="P12" s="26" t="n">
        <f aca="false">IF(12&lt;=$B$4,Realizado!M9,IF($B12="Orçado",'Orçado anual'!M9,IF($B12="Manual",$C12,$D12)))</f>
        <v>453666.666666667</v>
      </c>
      <c r="Q12" s="17" t="n">
        <f aca="false">SUM(E12:P12)</f>
        <v>5270500</v>
      </c>
    </row>
    <row r="13" customFormat="false" ht="15" hidden="false" customHeight="false" outlineLevel="0" collapsed="false">
      <c r="A13" s="18" t="s">
        <v>44</v>
      </c>
      <c r="B13" s="18"/>
      <c r="C13" s="18"/>
      <c r="D13" s="18"/>
      <c r="E13" s="10" t="n">
        <f aca="false">E11-E12</f>
        <v>450000</v>
      </c>
      <c r="F13" s="10" t="n">
        <f aca="false">F11-F12</f>
        <v>446600</v>
      </c>
      <c r="G13" s="10" t="n">
        <f aca="false">G11-G12</f>
        <v>529600</v>
      </c>
      <c r="H13" s="10" t="n">
        <f aca="false">H11-H12</f>
        <v>474500</v>
      </c>
      <c r="I13" s="10" t="n">
        <f aca="false">I11-I12</f>
        <v>501400</v>
      </c>
      <c r="J13" s="10" t="n">
        <f aca="false">J11-J12</f>
        <v>471600</v>
      </c>
      <c r="K13" s="10" t="n">
        <f aca="false">K11-K12</f>
        <v>503300</v>
      </c>
      <c r="L13" s="10" t="n">
        <f aca="false">L11-L12</f>
        <v>496900</v>
      </c>
      <c r="M13" s="10" t="n">
        <f aca="false">M11-M12</f>
        <v>500000</v>
      </c>
      <c r="N13" s="10" t="n">
        <f aca="false">N11-N12</f>
        <v>500066.666666667</v>
      </c>
      <c r="O13" s="10" t="n">
        <f aca="false">O11-O12</f>
        <v>500066.666666667</v>
      </c>
      <c r="P13" s="10" t="n">
        <f aca="false">P11-P12</f>
        <v>500066.666666667</v>
      </c>
      <c r="Q13" s="10" t="n">
        <f aca="false">SUM(E13:P13)</f>
        <v>5874100</v>
      </c>
    </row>
    <row r="14" customFormat="false" ht="15" hidden="false" customHeight="false" outlineLevel="0" collapsed="false">
      <c r="A14" s="15" t="s">
        <v>45</v>
      </c>
      <c r="B14" s="25" t="s">
        <v>61</v>
      </c>
      <c r="C14" s="16"/>
      <c r="D14" s="26" t="n">
        <f aca="false">IFERROR(IF($B$4&gt;=3,AVERAGE(INDEX(Realizado!$B$11:$M$11,1,$B$4-2):INDEX(Realizado!$B$11:$M$11,1,$B$4)),AVERAGE(INDEX(Realizado!$B$11:$M$11,1,1):INDEX(Realizado!$B$11:$M$11,1,MAX(1,$B$4)))),0)</f>
        <v>69000</v>
      </c>
      <c r="E14" s="26" t="n">
        <f aca="false">IF(1&lt;=$B$4,Realizado!B11,IF($B14="Orçado",'Orçado anual'!B11,IF($B14="Manual",$C14,$D14)))</f>
        <v>60900</v>
      </c>
      <c r="F14" s="26" t="n">
        <f aca="false">IF(2&lt;=$B$4,Realizado!C11,IF($B14="Orçado",'Orçado anual'!C11,IF($B14="Manual",$C14,$D14)))</f>
        <v>61000</v>
      </c>
      <c r="G14" s="26" t="n">
        <f aca="false">IF(3&lt;=$B$4,Realizado!D11,IF($B14="Orçado",'Orçado anual'!D11,IF($B14="Manual",$C14,$D14)))</f>
        <v>72000</v>
      </c>
      <c r="H14" s="26" t="n">
        <f aca="false">IF(4&lt;=$B$4,Realizado!E11,IF($B14="Orçado",'Orçado anual'!E11,IF($B14="Manual",$C14,$D14)))</f>
        <v>65000</v>
      </c>
      <c r="I14" s="26" t="n">
        <f aca="false">IF(5&lt;=$B$4,Realizado!F11,IF($B14="Orçado",'Orçado anual'!F11,IF($B14="Manual",$C14,$D14)))</f>
        <v>68400</v>
      </c>
      <c r="J14" s="26" t="n">
        <f aca="false">IF(6&lt;=$B$4,Realizado!G11,IF($B14="Orçado",'Orçado anual'!G11,IF($B14="Manual",$C14,$D14)))</f>
        <v>65000</v>
      </c>
      <c r="K14" s="26" t="n">
        <f aca="false">IF(7&lt;=$B$4,Realizado!H11,IF($B14="Orçado",'Orçado anual'!H11,IF($B14="Manual",$C14,$D14)))</f>
        <v>69100</v>
      </c>
      <c r="L14" s="26" t="n">
        <f aca="false">IF(8&lt;=$B$4,Realizado!I11,IF($B14="Orçado",'Orçado anual'!I11,IF($B14="Manual",$C14,$D14)))</f>
        <v>68900</v>
      </c>
      <c r="M14" s="26" t="n">
        <f aca="false">IF(9&lt;=$B$4,Realizado!J11,IF($B14="Orçado",'Orçado anual'!J11,IF($B14="Manual",$C14,$D14)))</f>
        <v>69000</v>
      </c>
      <c r="N14" s="26" t="n">
        <f aca="false">IF(10&lt;=$B$4,Realizado!K11,IF($B14="Orçado",'Orçado anual'!K11,IF($B14="Manual",$C14,$D14)))</f>
        <v>73100</v>
      </c>
      <c r="O14" s="26" t="n">
        <f aca="false">IF(11&lt;=$B$4,Realizado!L11,IF($B14="Orçado",'Orçado anual'!L11,IF($B14="Manual",$C14,$D14)))</f>
        <v>74500</v>
      </c>
      <c r="P14" s="26" t="n">
        <f aca="false">IF(12&lt;=$B$4,Realizado!M11,IF($B14="Orçado",'Orçado anual'!M11,IF($B14="Manual",$C14,$D14)))</f>
        <v>78000</v>
      </c>
      <c r="Q14" s="17" t="n">
        <f aca="false">SUM(E14:P14)</f>
        <v>824900</v>
      </c>
    </row>
    <row r="15" customFormat="false" ht="15" hidden="false" customHeight="false" outlineLevel="0" collapsed="false">
      <c r="A15" s="15" t="s">
        <v>46</v>
      </c>
      <c r="B15" s="25" t="s">
        <v>61</v>
      </c>
      <c r="C15" s="16"/>
      <c r="D15" s="26" t="n">
        <f aca="false">IFERROR(IF($B$4&gt;=3,AVERAGE(INDEX(Realizado!$B$12:$M$12,1,$B$4-2):INDEX(Realizado!$B$12:$M$12,1,$B$4)),AVERAGE(INDEX(Realizado!$B$12:$M$12,1,1):INDEX(Realizado!$B$12:$M$12,1,MAX(1,$B$4)))),0)</f>
        <v>103500</v>
      </c>
      <c r="E15" s="26" t="n">
        <f aca="false">IF(1&lt;=$B$4,Realizado!B12,IF($B15="Orçado",'Orçado anual'!B12,IF($B15="Manual",$C15,$D15)))</f>
        <v>96400</v>
      </c>
      <c r="F15" s="26" t="n">
        <f aca="false">IF(2&lt;=$B$4,Realizado!C12,IF($B15="Orçado",'Orçado anual'!C12,IF($B15="Manual",$C15,$D15)))</f>
        <v>97800</v>
      </c>
      <c r="G15" s="26" t="n">
        <f aca="false">IF(3&lt;=$B$4,Realizado!D12,IF($B15="Orçado",'Orçado anual'!D12,IF($B15="Manual",$C15,$D15)))</f>
        <v>99100</v>
      </c>
      <c r="H15" s="26" t="n">
        <f aca="false">IF(4&lt;=$B$4,Realizado!E12,IF($B15="Orçado",'Orçado anual'!E12,IF($B15="Manual",$C15,$D15)))</f>
        <v>98600</v>
      </c>
      <c r="I15" s="26" t="n">
        <f aca="false">IF(5&lt;=$B$4,Realizado!F12,IF($B15="Orçado",'Orçado anual'!F12,IF($B15="Manual",$C15,$D15)))</f>
        <v>101200</v>
      </c>
      <c r="J15" s="26" t="n">
        <f aca="false">IF(6&lt;=$B$4,Realizado!G12,IF($B15="Orçado",'Orçado anual'!G12,IF($B15="Manual",$C15,$D15)))</f>
        <v>100400</v>
      </c>
      <c r="K15" s="26" t="n">
        <f aca="false">IF(7&lt;=$B$4,Realizado!H12,IF($B15="Orçado",'Orçado anual'!H12,IF($B15="Manual",$C15,$D15)))</f>
        <v>102900</v>
      </c>
      <c r="L15" s="26" t="n">
        <f aca="false">IF(8&lt;=$B$4,Realizado!I12,IF($B15="Orçado",'Orçado anual'!I12,IF($B15="Manual",$C15,$D15)))</f>
        <v>103500</v>
      </c>
      <c r="M15" s="26" t="n">
        <f aca="false">IF(9&lt;=$B$4,Realizado!J12,IF($B15="Orçado",'Orçado anual'!J12,IF($B15="Manual",$C15,$D15)))</f>
        <v>104100</v>
      </c>
      <c r="N15" s="26" t="n">
        <f aca="false">IF(10&lt;=$B$4,Realizado!K12,IF($B15="Orçado",'Orçado anual'!K12,IF($B15="Manual",$C15,$D15)))</f>
        <v>95000</v>
      </c>
      <c r="O15" s="26" t="n">
        <f aca="false">IF(11&lt;=$B$4,Realizado!L12,IF($B15="Orçado",'Orçado anual'!L12,IF($B15="Manual",$C15,$D15)))</f>
        <v>95000</v>
      </c>
      <c r="P15" s="26" t="n">
        <f aca="false">IF(12&lt;=$B$4,Realizado!M12,IF($B15="Orçado",'Orçado anual'!M12,IF($B15="Manual",$C15,$D15)))</f>
        <v>95000</v>
      </c>
      <c r="Q15" s="17" t="n">
        <f aca="false">SUM(E15:P15)</f>
        <v>1189000</v>
      </c>
    </row>
    <row r="16" customFormat="false" ht="15" hidden="false" customHeight="false" outlineLevel="0" collapsed="false">
      <c r="A16" s="15" t="s">
        <v>47</v>
      </c>
      <c r="B16" s="25" t="s">
        <v>61</v>
      </c>
      <c r="C16" s="16"/>
      <c r="D16" s="26" t="n">
        <f aca="false">IFERROR(IF($B$4&gt;=3,AVERAGE(INDEX(Realizado!$B$13:$M$13,1,$B$4-2):INDEX(Realizado!$B$13:$M$13,1,$B$4)),AVERAGE(INDEX(Realizado!$B$13:$M$13,1,1):INDEX(Realizado!$B$13:$M$13,1,MAX(1,$B$4)))),0)</f>
        <v>172166.666666667</v>
      </c>
      <c r="E16" s="26" t="n">
        <f aca="false">IF(1&lt;=$B$4,Realizado!B13,IF($B16="Orçado",'Orçado anual'!B13,IF($B16="Manual",$C16,$D16)))</f>
        <v>165000</v>
      </c>
      <c r="F16" s="26" t="n">
        <f aca="false">IF(2&lt;=$B$4,Realizado!C13,IF($B16="Orçado",'Orçado anual'!C13,IF($B16="Manual",$C16,$D16)))</f>
        <v>165000</v>
      </c>
      <c r="G16" s="26" t="n">
        <f aca="false">IF(3&lt;=$B$4,Realizado!D13,IF($B16="Orçado",'Orçado anual'!D13,IF($B16="Manual",$C16,$D16)))</f>
        <v>166800</v>
      </c>
      <c r="H16" s="26" t="n">
        <f aca="false">IF(4&lt;=$B$4,Realizado!E13,IF($B16="Orçado",'Orçado anual'!E13,IF($B16="Manual",$C16,$D16)))</f>
        <v>166800</v>
      </c>
      <c r="I16" s="26" t="n">
        <f aca="false">IF(5&lt;=$B$4,Realizado!F13,IF($B16="Orçado",'Orçado anual'!F13,IF($B16="Manual",$C16,$D16)))</f>
        <v>171300</v>
      </c>
      <c r="J16" s="26" t="n">
        <f aca="false">IF(6&lt;=$B$4,Realizado!G13,IF($B16="Orçado",'Orçado anual'!G13,IF($B16="Manual",$C16,$D16)))</f>
        <v>171300</v>
      </c>
      <c r="K16" s="26" t="n">
        <f aca="false">IF(7&lt;=$B$4,Realizado!H13,IF($B16="Orçado",'Orçado anual'!H13,IF($B16="Manual",$C16,$D16)))</f>
        <v>171300</v>
      </c>
      <c r="L16" s="26" t="n">
        <f aca="false">IF(8&lt;=$B$4,Realizado!I13,IF($B16="Orçado",'Orçado anual'!I13,IF($B16="Manual",$C16,$D16)))</f>
        <v>172600</v>
      </c>
      <c r="M16" s="26" t="n">
        <f aca="false">IF(9&lt;=$B$4,Realizado!J13,IF($B16="Orçado",'Orçado anual'!J13,IF($B16="Manual",$C16,$D16)))</f>
        <v>172600</v>
      </c>
      <c r="N16" s="26" t="n">
        <f aca="false">IF(10&lt;=$B$4,Realizado!K13,IF($B16="Orçado",'Orçado anual'!K13,IF($B16="Manual",$C16,$D16)))</f>
        <v>165000</v>
      </c>
      <c r="O16" s="26" t="n">
        <f aca="false">IF(11&lt;=$B$4,Realizado!L13,IF($B16="Orçado",'Orçado anual'!L13,IF($B16="Manual",$C16,$D16)))</f>
        <v>165000</v>
      </c>
      <c r="P16" s="26" t="n">
        <f aca="false">IF(12&lt;=$B$4,Realizado!M13,IF($B16="Orçado",'Orçado anual'!M13,IF($B16="Manual",$C16,$D16)))</f>
        <v>248000</v>
      </c>
      <c r="Q16" s="17" t="n">
        <f aca="false">SUM(E16:P16)</f>
        <v>2100700</v>
      </c>
    </row>
    <row r="17" customFormat="false" ht="15" hidden="false" customHeight="false" outlineLevel="0" collapsed="false">
      <c r="A17" s="18" t="s">
        <v>48</v>
      </c>
      <c r="B17" s="18"/>
      <c r="C17" s="18"/>
      <c r="D17" s="18"/>
      <c r="E17" s="10" t="n">
        <f aca="false">E13-E14-E15-E16</f>
        <v>127700</v>
      </c>
      <c r="F17" s="10" t="n">
        <f aca="false">F13-F14-F15-F16</f>
        <v>122800</v>
      </c>
      <c r="G17" s="10" t="n">
        <f aca="false">G13-G14-G15-G16</f>
        <v>191700</v>
      </c>
      <c r="H17" s="10" t="n">
        <f aca="false">H13-H14-H15-H16</f>
        <v>144100</v>
      </c>
      <c r="I17" s="10" t="n">
        <f aca="false">I13-I14-I15-I16</f>
        <v>160500</v>
      </c>
      <c r="J17" s="10" t="n">
        <f aca="false">J13-J14-J15-J16</f>
        <v>134900</v>
      </c>
      <c r="K17" s="10" t="n">
        <f aca="false">K13-K14-K15-K16</f>
        <v>160000</v>
      </c>
      <c r="L17" s="10" t="n">
        <f aca="false">L13-L14-L15-L16</f>
        <v>151900</v>
      </c>
      <c r="M17" s="10" t="n">
        <f aca="false">M13-M14-M15-M16</f>
        <v>154300</v>
      </c>
      <c r="N17" s="10" t="n">
        <f aca="false">N13-N14-N15-N16</f>
        <v>166966.666666667</v>
      </c>
      <c r="O17" s="10" t="n">
        <f aca="false">O13-O14-O15-O16</f>
        <v>165566.666666667</v>
      </c>
      <c r="P17" s="10" t="n">
        <f aca="false">P13-P14-P15-P16</f>
        <v>79066.6666666667</v>
      </c>
      <c r="Q17" s="10" t="n">
        <f aca="false">SUM(E17:P17)</f>
        <v>1759500</v>
      </c>
    </row>
    <row r="18" customFormat="false" ht="15" hidden="false" customHeight="false" outlineLevel="0" collapsed="false">
      <c r="A18" s="19" t="s">
        <v>49</v>
      </c>
      <c r="B18" s="19"/>
      <c r="C18" s="19"/>
      <c r="D18" s="19"/>
      <c r="E18" s="20" t="n">
        <f aca="false">IFERROR(E13/E11,0)</f>
        <v>0.534950071326676</v>
      </c>
      <c r="F18" s="20" t="n">
        <f aca="false">IFERROR(F13/F11,0)</f>
        <v>0.530026109660574</v>
      </c>
      <c r="G18" s="20" t="n">
        <f aca="false">IFERROR(G13/G11,0)</f>
        <v>0.532047418123368</v>
      </c>
      <c r="H18" s="20" t="n">
        <f aca="false">IFERROR(H13/H11,0)</f>
        <v>0.527984867030155</v>
      </c>
      <c r="I18" s="20" t="n">
        <f aca="false">IFERROR(I13/I11,0)</f>
        <v>0.529965119966177</v>
      </c>
      <c r="J18" s="20" t="n">
        <f aca="false">IFERROR(J13/J11,0)</f>
        <v>0.525050100200401</v>
      </c>
      <c r="K18" s="20" t="n">
        <f aca="false">IFERROR(K13/K11,0)</f>
        <v>0.527015706806283</v>
      </c>
      <c r="L18" s="20" t="n">
        <f aca="false">IFERROR(L13/L11,0)</f>
        <v>0.521953781512605</v>
      </c>
      <c r="M18" s="20" t="n">
        <f aca="false">IFERROR(M13/M11,0)</f>
        <v>0.523999161601341</v>
      </c>
      <c r="N18" s="20" t="n">
        <f aca="false">IFERROR(N13/N11,0)</f>
        <v>0.524325457849853</v>
      </c>
      <c r="O18" s="20" t="n">
        <f aca="false">IFERROR(O13/O11,0)</f>
        <v>0.524325457849853</v>
      </c>
      <c r="P18" s="20" t="n">
        <f aca="false">IFERROR(P13/P11,0)</f>
        <v>0.524325457849853</v>
      </c>
      <c r="Q18" s="21" t="n">
        <f aca="false">IFERROR(Q13/Q11,0)</f>
        <v>0.527080379735477</v>
      </c>
    </row>
    <row r="19" customFormat="false" ht="15" hidden="false" customHeight="false" outlineLevel="0" collapsed="false">
      <c r="A19" s="19" t="s">
        <v>50</v>
      </c>
      <c r="B19" s="19"/>
      <c r="C19" s="19"/>
      <c r="D19" s="19"/>
      <c r="E19" s="20" t="n">
        <f aca="false">IFERROR(E17/E11,0)</f>
        <v>0.151806942463148</v>
      </c>
      <c r="F19" s="20" t="n">
        <f aca="false">IFERROR(F17/F11,0)</f>
        <v>0.145739378115357</v>
      </c>
      <c r="G19" s="20" t="n">
        <f aca="false">IFERROR(G17/G11,0)</f>
        <v>0.192585895117541</v>
      </c>
      <c r="H19" s="20" t="n">
        <f aca="false">IFERROR(H17/H11,0)</f>
        <v>0.160342717258262</v>
      </c>
      <c r="I19" s="20" t="n">
        <f aca="false">IFERROR(I17/I11,0)</f>
        <v>0.169643800866716</v>
      </c>
      <c r="J19" s="20" t="n">
        <f aca="false">IFERROR(J17/J11,0)</f>
        <v>0.150189267423736</v>
      </c>
      <c r="K19" s="20" t="n">
        <f aca="false">IFERROR(K17/K11,0)</f>
        <v>0.167539267015707</v>
      </c>
      <c r="L19" s="20" t="n">
        <f aca="false">IFERROR(L17/L11,0)</f>
        <v>0.159558823529412</v>
      </c>
      <c r="M19" s="20" t="n">
        <f aca="false">IFERROR(M17/M11,0)</f>
        <v>0.161706141270174</v>
      </c>
      <c r="N19" s="20" t="n">
        <f aca="false">IFERROR(N17/N11,0)</f>
        <v>0.1750664057039</v>
      </c>
      <c r="O19" s="20" t="n">
        <f aca="false">IFERROR(O17/O11,0)</f>
        <v>0.173598490143996</v>
      </c>
      <c r="P19" s="20" t="n">
        <f aca="false">IFERROR(P17/P11,0)</f>
        <v>0.0829022787641549</v>
      </c>
      <c r="Q19" s="21" t="n">
        <f aca="false">IFERROR(Q17/Q11,0)</f>
        <v>0.157879152235163</v>
      </c>
    </row>
    <row r="21" customFormat="false" ht="15" hidden="false" customHeight="false" outlineLevel="0" collapsed="false">
      <c r="A21" s="2" t="s">
        <v>62</v>
      </c>
    </row>
    <row r="23" customFormat="false" ht="15" hidden="false" customHeight="false" outlineLevel="0" collapsed="false">
      <c r="A23" s="11" t="s">
        <v>22</v>
      </c>
    </row>
  </sheetData>
  <conditionalFormatting sqref="E8:P19">
    <cfRule type="expression" priority="2" aboveAverage="0" equalAverage="0" bottom="0" percent="0" rank="0" text="" dxfId="0">
      <formula>E$8="Projeção"</formula>
    </cfRule>
  </conditionalFormatting>
  <conditionalFormatting sqref="C5">
    <cfRule type="expression" priority="3" aboveAverage="0" equalAverage="0" bottom="0" percent="0" rank="0" text="" dxfId="1">
      <formula>$B$4&gt;$B$5</formula>
    </cfRule>
  </conditionalFormatting>
  <dataValidations count="2">
    <dataValidation allowBlank="false" error="Use um número de 1 (janeiro) a 12 (dezembro)." errorStyle="stop" errorTitle="Mês de corte" operator="between" showDropDown="false" showErrorMessage="true" showInputMessage="false" sqref="B4" type="whole">
      <formula1>1</formula1>
      <formula2>12</formula2>
    </dataValidation>
    <dataValidation allowBlank="false" errorStyle="stop" operator="between" showDropDown="false" showErrorMessage="false" showInputMessage="false" sqref="B9:B10 B12 B14:B16" type="list">
      <formula1>"Média 3 meses,Orçado,Manual"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2"/>
    <col collapsed="false" customWidth="true" hidden="false" outlineLevel="0" max="8" min="3" style="0" width="16"/>
    <col collapsed="false" customWidth="true" hidden="false" outlineLevel="0" max="9" min="9" style="0" width="18"/>
  </cols>
  <sheetData>
    <row r="1" customFormat="false" ht="19.7" hidden="false" customHeight="false" outlineLevel="0" collapsed="false">
      <c r="A1" s="1" t="s">
        <v>63</v>
      </c>
    </row>
    <row r="2" customFormat="false" ht="15" hidden="false" customHeight="false" outlineLevel="0" collapsed="false">
      <c r="A2" s="2" t="s">
        <v>64</v>
      </c>
    </row>
    <row r="3" customFormat="false" ht="15" hidden="false" customHeight="false" outlineLevel="0" collapsed="false">
      <c r="A3" s="3" t="str">
        <f aca="false">"Forecast "&amp;Forecast!B4&amp;"+"&amp;(12-Forecast!B4)&amp;" · "&amp;Instruções!C5</f>
        <v>Forecast 9+3 · Empresa Exemplo Ltda.</v>
      </c>
    </row>
    <row r="5" customFormat="false" ht="30" hidden="false" customHeight="true" outlineLevel="0" collapsed="false">
      <c r="A5" s="13" t="s">
        <v>26</v>
      </c>
      <c r="B5" s="14" t="s">
        <v>65</v>
      </c>
      <c r="C5" s="14" t="s">
        <v>66</v>
      </c>
      <c r="D5" s="14" t="s">
        <v>67</v>
      </c>
      <c r="E5" s="14" t="s">
        <v>68</v>
      </c>
      <c r="F5" s="14" t="s">
        <v>69</v>
      </c>
      <c r="G5" s="14" t="s">
        <v>70</v>
      </c>
      <c r="H5" s="14" t="s">
        <v>71</v>
      </c>
      <c r="I5" s="14" t="s">
        <v>72</v>
      </c>
    </row>
    <row r="6" customFormat="false" ht="15" hidden="false" customHeight="false" outlineLevel="0" collapsed="false">
      <c r="A6" s="15" t="s">
        <v>40</v>
      </c>
      <c r="B6" s="15" t="s">
        <v>73</v>
      </c>
      <c r="C6" s="26" t="n">
        <f aca="false">'Orçado anual'!N6</f>
        <v>13915000</v>
      </c>
      <c r="D6" s="26" t="n">
        <f aca="false">SUMPRODUCT((Forecast!$E$8:$P$8="Realizado")*Forecast!E9:P9)</f>
        <v>9665700</v>
      </c>
      <c r="E6" s="26" t="n">
        <f aca="false">F6-D6</f>
        <v>3338700</v>
      </c>
      <c r="F6" s="26" t="n">
        <f aca="false">Forecast!Q9</f>
        <v>13004400</v>
      </c>
      <c r="G6" s="26" t="n">
        <f aca="false">F6-C6</f>
        <v>-910600</v>
      </c>
      <c r="H6" s="27" t="n">
        <f aca="false">IFERROR(G6/C6,0)</f>
        <v>-0.0654401724757456</v>
      </c>
      <c r="I6" s="28" t="str">
        <f aca="false">IF(ROUND(G6,0)=0,"Neutro",IF(OR(AND(G6&gt;0,B6&lt;&gt;"Custo"),AND(G6&lt;0,B6="Custo")),"Favorável","Desfavorável"))</f>
        <v>Desfavorável</v>
      </c>
    </row>
    <row r="7" customFormat="false" ht="15" hidden="false" customHeight="false" outlineLevel="0" collapsed="false">
      <c r="A7" s="15" t="s">
        <v>41</v>
      </c>
      <c r="B7" s="15" t="s">
        <v>74</v>
      </c>
      <c r="C7" s="26" t="n">
        <f aca="false">'Orçado anual'!N7</f>
        <v>1948200</v>
      </c>
      <c r="D7" s="26" t="n">
        <f aca="false">SUMPRODUCT((Forecast!$E$8:$P$8="Realizado")*Forecast!E10:P10)</f>
        <v>1382300</v>
      </c>
      <c r="E7" s="26" t="n">
        <f aca="false">F7-D7</f>
        <v>477500</v>
      </c>
      <c r="F7" s="26" t="n">
        <f aca="false">Forecast!Q10</f>
        <v>1859800</v>
      </c>
      <c r="G7" s="26" t="n">
        <f aca="false">F7-C7</f>
        <v>-88400</v>
      </c>
      <c r="H7" s="27" t="n">
        <f aca="false">IFERROR(G7/C7,0)</f>
        <v>-0.0453752181500873</v>
      </c>
      <c r="I7" s="28" t="str">
        <f aca="false">IF(ROUND(G7,0)=0,"Neutro",IF(OR(AND(G7&gt;0,B7&lt;&gt;"Custo"),AND(G7&lt;0,B7="Custo")),"Favorável","Desfavorável"))</f>
        <v>Favorável</v>
      </c>
    </row>
    <row r="8" customFormat="false" ht="15" hidden="false" customHeight="false" outlineLevel="0" collapsed="false">
      <c r="A8" s="18" t="s">
        <v>42</v>
      </c>
      <c r="B8" s="18" t="s">
        <v>73</v>
      </c>
      <c r="C8" s="10" t="n">
        <f aca="false">'Orçado anual'!N8</f>
        <v>11966800</v>
      </c>
      <c r="D8" s="10" t="n">
        <f aca="false">SUMPRODUCT((Forecast!$E$8:$P$8="Realizado")*Forecast!E11:P11)</f>
        <v>8283400</v>
      </c>
      <c r="E8" s="10" t="n">
        <f aca="false">F8-D8</f>
        <v>2861200</v>
      </c>
      <c r="F8" s="10" t="n">
        <f aca="false">Forecast!Q11</f>
        <v>11144600</v>
      </c>
      <c r="G8" s="10" t="n">
        <f aca="false">F8-C8</f>
        <v>-822200</v>
      </c>
      <c r="H8" s="29" t="n">
        <f aca="false">IFERROR(G8/C8,0)</f>
        <v>-0.0687067553564863</v>
      </c>
      <c r="I8" s="18" t="str">
        <f aca="false">IF(ROUND(G8,0)=0,"Neutro",IF(OR(AND(G8&gt;0,B8&lt;&gt;"Custo"),AND(G8&lt;0,B8="Custo")),"Favorável","Desfavorável"))</f>
        <v>Desfavorável</v>
      </c>
    </row>
    <row r="9" customFormat="false" ht="15" hidden="false" customHeight="false" outlineLevel="0" collapsed="false">
      <c r="A9" s="15" t="s">
        <v>43</v>
      </c>
      <c r="B9" s="15" t="s">
        <v>74</v>
      </c>
      <c r="C9" s="26" t="n">
        <f aca="false">'Orçado anual'!N9</f>
        <v>5504500</v>
      </c>
      <c r="D9" s="26" t="n">
        <f aca="false">SUMPRODUCT((Forecast!$E$8:$P$8="Realizado")*Forecast!E12:P12)</f>
        <v>3909500</v>
      </c>
      <c r="E9" s="26" t="n">
        <f aca="false">F9-D9</f>
        <v>1361000</v>
      </c>
      <c r="F9" s="26" t="n">
        <f aca="false">Forecast!Q12</f>
        <v>5270500</v>
      </c>
      <c r="G9" s="26" t="n">
        <f aca="false">F9-C9</f>
        <v>-234000</v>
      </c>
      <c r="H9" s="27" t="n">
        <f aca="false">IFERROR(G9/C9,0)</f>
        <v>-0.0425106730856572</v>
      </c>
      <c r="I9" s="28" t="str">
        <f aca="false">IF(ROUND(G9,0)=0,"Neutro",IF(OR(AND(G9&gt;0,B9&lt;&gt;"Custo"),AND(G9&lt;0,B9="Custo")),"Favorável","Desfavorável"))</f>
        <v>Favorável</v>
      </c>
    </row>
    <row r="10" customFormat="false" ht="15" hidden="false" customHeight="false" outlineLevel="0" collapsed="false">
      <c r="A10" s="18" t="s">
        <v>44</v>
      </c>
      <c r="B10" s="18" t="s">
        <v>75</v>
      </c>
      <c r="C10" s="10" t="n">
        <f aca="false">'Orçado anual'!N10</f>
        <v>6462300</v>
      </c>
      <c r="D10" s="10" t="n">
        <f aca="false">SUMPRODUCT((Forecast!$E$8:$P$8="Realizado")*Forecast!E13:P13)</f>
        <v>4373900</v>
      </c>
      <c r="E10" s="10" t="n">
        <f aca="false">F10-D10</f>
        <v>1500200</v>
      </c>
      <c r="F10" s="10" t="n">
        <f aca="false">Forecast!Q13</f>
        <v>5874100</v>
      </c>
      <c r="G10" s="10" t="n">
        <f aca="false">F10-C10</f>
        <v>-588200</v>
      </c>
      <c r="H10" s="29" t="n">
        <f aca="false">IFERROR(G10/C10,0)</f>
        <v>-0.091020224997292</v>
      </c>
      <c r="I10" s="18" t="str">
        <f aca="false">IF(ROUND(G10,0)=0,"Neutro",IF(OR(AND(G10&gt;0,B10&lt;&gt;"Custo"),AND(G10&lt;0,B10="Custo")),"Favorável","Desfavorável"))</f>
        <v>Desfavorável</v>
      </c>
    </row>
    <row r="11" customFormat="false" ht="15" hidden="false" customHeight="false" outlineLevel="0" collapsed="false">
      <c r="A11" s="15" t="s">
        <v>45</v>
      </c>
      <c r="B11" s="15" t="s">
        <v>74</v>
      </c>
      <c r="C11" s="26" t="n">
        <f aca="false">'Orçado anual'!N11</f>
        <v>834800</v>
      </c>
      <c r="D11" s="26" t="n">
        <f aca="false">SUMPRODUCT((Forecast!$E$8:$P$8="Realizado")*Forecast!E14:P14)</f>
        <v>599300</v>
      </c>
      <c r="E11" s="26" t="n">
        <f aca="false">F11-D11</f>
        <v>225600</v>
      </c>
      <c r="F11" s="26" t="n">
        <f aca="false">Forecast!Q14</f>
        <v>824900</v>
      </c>
      <c r="G11" s="26" t="n">
        <f aca="false">F11-C11</f>
        <v>-9900</v>
      </c>
      <c r="H11" s="27" t="n">
        <f aca="false">IFERROR(G11/C11,0)</f>
        <v>-0.0118591279348347</v>
      </c>
      <c r="I11" s="28" t="str">
        <f aca="false">IF(ROUND(G11,0)=0,"Neutro",IF(OR(AND(G11&gt;0,B11&lt;&gt;"Custo"),AND(G11&lt;0,B11="Custo")),"Favorável","Desfavorável"))</f>
        <v>Favorável</v>
      </c>
    </row>
    <row r="12" customFormat="false" ht="15" hidden="false" customHeight="false" outlineLevel="0" collapsed="false">
      <c r="A12" s="15" t="s">
        <v>46</v>
      </c>
      <c r="B12" s="15" t="s">
        <v>74</v>
      </c>
      <c r="C12" s="26" t="n">
        <f aca="false">'Orçado anual'!N12</f>
        <v>1140000</v>
      </c>
      <c r="D12" s="26" t="n">
        <f aca="false">SUMPRODUCT((Forecast!$E$8:$P$8="Realizado")*Forecast!E15:P15)</f>
        <v>904000</v>
      </c>
      <c r="E12" s="26" t="n">
        <f aca="false">F12-D12</f>
        <v>285000</v>
      </c>
      <c r="F12" s="26" t="n">
        <f aca="false">Forecast!Q15</f>
        <v>1189000</v>
      </c>
      <c r="G12" s="26" t="n">
        <f aca="false">F12-C12</f>
        <v>49000</v>
      </c>
      <c r="H12" s="27" t="n">
        <f aca="false">IFERROR(G12/C12,0)</f>
        <v>0.0429824561403509</v>
      </c>
      <c r="I12" s="28" t="str">
        <f aca="false">IF(ROUND(G12,0)=0,"Neutro",IF(OR(AND(G12&gt;0,B12&lt;&gt;"Custo"),AND(G12&lt;0,B12="Custo")),"Favorável","Desfavorável"))</f>
        <v>Desfavorável</v>
      </c>
    </row>
    <row r="13" customFormat="false" ht="15" hidden="false" customHeight="false" outlineLevel="0" collapsed="false">
      <c r="A13" s="15" t="s">
        <v>47</v>
      </c>
      <c r="B13" s="15" t="s">
        <v>74</v>
      </c>
      <c r="C13" s="26" t="n">
        <f aca="false">'Orçado anual'!N13</f>
        <v>2063000</v>
      </c>
      <c r="D13" s="26" t="n">
        <f aca="false">SUMPRODUCT((Forecast!$E$8:$P$8="Realizado")*Forecast!E16:P16)</f>
        <v>1522700</v>
      </c>
      <c r="E13" s="26" t="n">
        <f aca="false">F13-D13</f>
        <v>578000</v>
      </c>
      <c r="F13" s="26" t="n">
        <f aca="false">Forecast!Q16</f>
        <v>2100700</v>
      </c>
      <c r="G13" s="26" t="n">
        <f aca="false">F13-C13</f>
        <v>37700</v>
      </c>
      <c r="H13" s="27" t="n">
        <f aca="false">IFERROR(G13/C13,0)</f>
        <v>0.018274357731459</v>
      </c>
      <c r="I13" s="28" t="str">
        <f aca="false">IF(ROUND(G13,0)=0,"Neutro",IF(OR(AND(G13&gt;0,B13&lt;&gt;"Custo"),AND(G13&lt;0,B13="Custo")),"Favorável","Desfavorável"))</f>
        <v>Desfavorável</v>
      </c>
    </row>
    <row r="14" customFormat="false" ht="15" hidden="false" customHeight="false" outlineLevel="0" collapsed="false">
      <c r="A14" s="18" t="s">
        <v>48</v>
      </c>
      <c r="B14" s="18" t="s">
        <v>75</v>
      </c>
      <c r="C14" s="10" t="n">
        <f aca="false">'Orçado anual'!N14</f>
        <v>2424500</v>
      </c>
      <c r="D14" s="10" t="n">
        <f aca="false">SUMPRODUCT((Forecast!$E$8:$P$8="Realizado")*Forecast!E17:P17)</f>
        <v>1347900</v>
      </c>
      <c r="E14" s="10" t="n">
        <f aca="false">F14-D14</f>
        <v>411600</v>
      </c>
      <c r="F14" s="10" t="n">
        <f aca="false">Forecast!Q17</f>
        <v>1759500</v>
      </c>
      <c r="G14" s="10" t="n">
        <f aca="false">F14-C14</f>
        <v>-665000</v>
      </c>
      <c r="H14" s="29" t="n">
        <f aca="false">IFERROR(G14/C14,0)</f>
        <v>-0.274283357393277</v>
      </c>
      <c r="I14" s="18" t="str">
        <f aca="false">IF(ROUND(G14,0)=0,"Neutro",IF(OR(AND(G14&gt;0,B14&lt;&gt;"Custo"),AND(G14&lt;0,B14="Custo")),"Favorável","Desfavorável"))</f>
        <v>Desfavorável</v>
      </c>
    </row>
    <row r="16" customFormat="false" ht="30" hidden="false" customHeight="true" outlineLevel="0" collapsed="false">
      <c r="A16" s="13" t="s">
        <v>76</v>
      </c>
      <c r="B16" s="14"/>
      <c r="C16" s="14" t="s">
        <v>66</v>
      </c>
      <c r="D16" s="14"/>
      <c r="E16" s="14"/>
      <c r="F16" s="14" t="s">
        <v>69</v>
      </c>
      <c r="G16" s="14" t="s">
        <v>77</v>
      </c>
      <c r="H16" s="14"/>
      <c r="I16" s="14"/>
    </row>
    <row r="17" customFormat="false" ht="15" hidden="false" customHeight="false" outlineLevel="0" collapsed="false">
      <c r="A17" s="15" t="s">
        <v>49</v>
      </c>
      <c r="B17" s="15"/>
      <c r="C17" s="27" t="n">
        <f aca="false">IFERROR(C10/C8,0)</f>
        <v>0.540019052712505</v>
      </c>
      <c r="D17" s="15"/>
      <c r="E17" s="15"/>
      <c r="F17" s="27" t="n">
        <f aca="false">IFERROR(F10/F8,0)</f>
        <v>0.527080379735477</v>
      </c>
      <c r="G17" s="30" t="n">
        <f aca="false">(F17-C17)*100</f>
        <v>-1.29386729770273</v>
      </c>
      <c r="H17" s="15"/>
      <c r="I17" s="28" t="str">
        <f aca="false">IF(ROUND(G17,1)=0,"Neutro",IF(G17&gt;0,"Favorável","Desfavorável"))</f>
        <v>Desfavorável</v>
      </c>
    </row>
    <row r="18" customFormat="false" ht="15" hidden="false" customHeight="false" outlineLevel="0" collapsed="false">
      <c r="A18" s="15" t="s">
        <v>50</v>
      </c>
      <c r="B18" s="15"/>
      <c r="C18" s="27" t="n">
        <f aca="false">IFERROR(C14/C8,0)</f>
        <v>0.202602199418391</v>
      </c>
      <c r="D18" s="15"/>
      <c r="E18" s="15"/>
      <c r="F18" s="27" t="n">
        <f aca="false">IFERROR(F14/F8,0)</f>
        <v>0.157879152235163</v>
      </c>
      <c r="G18" s="30" t="n">
        <f aca="false">(F18-C18)*100</f>
        <v>-4.47230471832276</v>
      </c>
      <c r="H18" s="15"/>
      <c r="I18" s="28" t="str">
        <f aca="false">IF(ROUND(G18,1)=0,"Neutro",IF(G18&gt;0,"Favorável","Desfavorável"))</f>
        <v>Desfavorável</v>
      </c>
    </row>
    <row r="21" customFormat="false" ht="15" hidden="false" customHeight="false" outlineLevel="0" collapsed="false">
      <c r="A21" s="11" t="s">
        <v>22</v>
      </c>
    </row>
  </sheetData>
  <conditionalFormatting sqref="I6:I18">
    <cfRule type="cellIs" priority="2" operator="equal" aboveAverage="0" equalAverage="0" bottom="0" percent="0" rank="0" text="" dxfId="2">
      <formula>"Favorável"</formula>
    </cfRule>
    <cfRule type="cellIs" priority="3" operator="equal" aboveAverage="0" equalAverage="0" bottom="0" percent="0" rank="0" text="" dxfId="1">
      <formula>"Desfavorável"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8"/>
    <col collapsed="false" customWidth="true" hidden="false" outlineLevel="0" max="5" min="4" style="0" width="16"/>
    <col collapsed="false" customWidth="true" hidden="false" outlineLevel="0" max="6" min="6" style="0" width="12"/>
  </cols>
  <sheetData>
    <row r="1" customFormat="false" ht="19.7" hidden="false" customHeight="false" outlineLevel="0" collapsed="false">
      <c r="A1" s="1" t="s">
        <v>78</v>
      </c>
    </row>
    <row r="2" customFormat="false" ht="15" hidden="false" customHeight="false" outlineLevel="0" collapsed="false">
      <c r="A2" s="2" t="s">
        <v>79</v>
      </c>
    </row>
    <row r="4" customFormat="false" ht="30" hidden="false" customHeight="true" outlineLevel="0" collapsed="false">
      <c r="A4" s="13" t="s">
        <v>80</v>
      </c>
      <c r="B4" s="14" t="s">
        <v>81</v>
      </c>
      <c r="C4" s="14" t="s">
        <v>82</v>
      </c>
      <c r="D4" s="14" t="s">
        <v>83</v>
      </c>
      <c r="E4" s="14" t="s">
        <v>84</v>
      </c>
      <c r="F4" s="14" t="s">
        <v>85</v>
      </c>
    </row>
    <row r="5" customFormat="false" ht="15" hidden="false" customHeight="false" outlineLevel="0" collapsed="false">
      <c r="A5" s="15" t="s">
        <v>27</v>
      </c>
      <c r="B5" s="26" t="n">
        <f aca="false">'Orçado anual'!B8</f>
        <v>870300</v>
      </c>
      <c r="C5" s="26" t="n">
        <f aca="false">Forecast!E11</f>
        <v>841200</v>
      </c>
      <c r="D5" s="26" t="n">
        <f aca="false">'Orçado anual'!B14</f>
        <v>149300</v>
      </c>
      <c r="E5" s="26" t="n">
        <f aca="false">Forecast!E17</f>
        <v>127700</v>
      </c>
      <c r="F5" s="15" t="str">
        <f aca="false">Forecast!E8</f>
        <v>Realizado</v>
      </c>
    </row>
    <row r="6" customFormat="false" ht="15" hidden="false" customHeight="false" outlineLevel="0" collapsed="false">
      <c r="A6" s="15" t="s">
        <v>28</v>
      </c>
      <c r="B6" s="26" t="n">
        <f aca="false">'Orçado anual'!C8</f>
        <v>890100</v>
      </c>
      <c r="C6" s="26" t="n">
        <f aca="false">Forecast!F11</f>
        <v>842600</v>
      </c>
      <c r="D6" s="26" t="n">
        <f aca="false">'Orçado anual'!C14</f>
        <v>158600</v>
      </c>
      <c r="E6" s="26" t="n">
        <f aca="false">Forecast!F17</f>
        <v>122800</v>
      </c>
      <c r="F6" s="15" t="str">
        <f aca="false">Forecast!F8</f>
        <v>Realizado</v>
      </c>
    </row>
    <row r="7" customFormat="false" ht="15" hidden="false" customHeight="false" outlineLevel="0" collapsed="false">
      <c r="A7" s="15" t="s">
        <v>29</v>
      </c>
      <c r="B7" s="26" t="n">
        <f aca="false">'Orçado anual'!D8</f>
        <v>989000</v>
      </c>
      <c r="C7" s="26" t="n">
        <f aca="false">Forecast!G11</f>
        <v>995400</v>
      </c>
      <c r="D7" s="26" t="n">
        <f aca="false">'Orçado anual'!D14</f>
        <v>205100</v>
      </c>
      <c r="E7" s="26" t="n">
        <f aca="false">Forecast!G17</f>
        <v>191700</v>
      </c>
      <c r="F7" s="15" t="str">
        <f aca="false">Forecast!G8</f>
        <v>Realizado</v>
      </c>
    </row>
    <row r="8" customFormat="false" ht="15" hidden="false" customHeight="false" outlineLevel="0" collapsed="false">
      <c r="A8" s="15" t="s">
        <v>30</v>
      </c>
      <c r="B8" s="26" t="n">
        <f aca="false">'Orçado anual'!E8</f>
        <v>959300</v>
      </c>
      <c r="C8" s="26" t="n">
        <f aca="false">Forecast!H11</f>
        <v>898700</v>
      </c>
      <c r="D8" s="26" t="n">
        <f aca="false">'Orçado anual'!E14</f>
        <v>191100</v>
      </c>
      <c r="E8" s="26" t="n">
        <f aca="false">Forecast!H17</f>
        <v>144100</v>
      </c>
      <c r="F8" s="15" t="str">
        <f aca="false">Forecast!H8</f>
        <v>Realizado</v>
      </c>
    </row>
    <row r="9" customFormat="false" ht="15" hidden="false" customHeight="false" outlineLevel="0" collapsed="false">
      <c r="A9" s="15" t="s">
        <v>31</v>
      </c>
      <c r="B9" s="26" t="n">
        <f aca="false">'Orçado anual'!F8</f>
        <v>989000</v>
      </c>
      <c r="C9" s="26" t="n">
        <f aca="false">Forecast!I11</f>
        <v>946100</v>
      </c>
      <c r="D9" s="26" t="n">
        <f aca="false">'Orçado anual'!F14</f>
        <v>205100</v>
      </c>
      <c r="E9" s="26" t="n">
        <f aca="false">Forecast!I17</f>
        <v>160500</v>
      </c>
      <c r="F9" s="15" t="str">
        <f aca="false">Forecast!I8</f>
        <v>Realizado</v>
      </c>
    </row>
    <row r="10" customFormat="false" ht="15" hidden="false" customHeight="false" outlineLevel="0" collapsed="false">
      <c r="A10" s="15" t="s">
        <v>32</v>
      </c>
      <c r="B10" s="26" t="n">
        <f aca="false">'Orçado anual'!G8</f>
        <v>969200</v>
      </c>
      <c r="C10" s="26" t="n">
        <f aca="false">Forecast!J11</f>
        <v>898200</v>
      </c>
      <c r="D10" s="26" t="n">
        <f aca="false">'Orçado anual'!G14</f>
        <v>195800</v>
      </c>
      <c r="E10" s="26" t="n">
        <f aca="false">Forecast!J17</f>
        <v>134900</v>
      </c>
      <c r="F10" s="15" t="str">
        <f aca="false">Forecast!J8</f>
        <v>Realizado</v>
      </c>
    </row>
    <row r="11" customFormat="false" ht="15" hidden="false" customHeight="false" outlineLevel="0" collapsed="false">
      <c r="A11" s="15" t="s">
        <v>33</v>
      </c>
      <c r="B11" s="26" t="n">
        <f aca="false">'Orçado anual'!H8</f>
        <v>1008800</v>
      </c>
      <c r="C11" s="26" t="n">
        <f aca="false">Forecast!K11</f>
        <v>955000</v>
      </c>
      <c r="D11" s="26" t="n">
        <f aca="false">'Orçado anual'!H14</f>
        <v>214400</v>
      </c>
      <c r="E11" s="26" t="n">
        <f aca="false">Forecast!K17</f>
        <v>160000</v>
      </c>
      <c r="F11" s="15" t="str">
        <f aca="false">Forecast!K8</f>
        <v>Realizado</v>
      </c>
    </row>
    <row r="12" customFormat="false" ht="15" hidden="false" customHeight="false" outlineLevel="0" collapsed="false">
      <c r="A12" s="15" t="s">
        <v>34</v>
      </c>
      <c r="B12" s="26" t="n">
        <f aca="false">'Orçado anual'!I8</f>
        <v>1038400</v>
      </c>
      <c r="C12" s="26" t="n">
        <f aca="false">Forecast!L11</f>
        <v>952000</v>
      </c>
      <c r="D12" s="26" t="n">
        <f aca="false">'Orçado anual'!I14</f>
        <v>228300</v>
      </c>
      <c r="E12" s="26" t="n">
        <f aca="false">Forecast!L17</f>
        <v>151900</v>
      </c>
      <c r="F12" s="15" t="str">
        <f aca="false">Forecast!L8</f>
        <v>Realizado</v>
      </c>
    </row>
    <row r="13" customFormat="false" ht="15" hidden="false" customHeight="false" outlineLevel="0" collapsed="false">
      <c r="A13" s="15" t="s">
        <v>35</v>
      </c>
      <c r="B13" s="26" t="n">
        <f aca="false">'Orçado anual'!J8</f>
        <v>1018700</v>
      </c>
      <c r="C13" s="26" t="n">
        <f aca="false">Forecast!M11</f>
        <v>954200</v>
      </c>
      <c r="D13" s="26" t="n">
        <f aca="false">'Orçado anual'!J14</f>
        <v>219000</v>
      </c>
      <c r="E13" s="26" t="n">
        <f aca="false">Forecast!M17</f>
        <v>154300</v>
      </c>
      <c r="F13" s="15" t="str">
        <f aca="false">Forecast!M8</f>
        <v>Realizado</v>
      </c>
    </row>
    <row r="14" customFormat="false" ht="15" hidden="false" customHeight="false" outlineLevel="0" collapsed="false">
      <c r="A14" s="15" t="s">
        <v>36</v>
      </c>
      <c r="B14" s="26" t="n">
        <f aca="false">'Orçado anual'!K8</f>
        <v>1048300</v>
      </c>
      <c r="C14" s="26" t="n">
        <f aca="false">Forecast!N11</f>
        <v>953733.333333333</v>
      </c>
      <c r="D14" s="26" t="n">
        <f aca="false">'Orçado anual'!K14</f>
        <v>233000</v>
      </c>
      <c r="E14" s="26" t="n">
        <f aca="false">Forecast!N17</f>
        <v>166966.666666667</v>
      </c>
      <c r="F14" s="15" t="str">
        <f aca="false">Forecast!N8</f>
        <v>Projeção</v>
      </c>
    </row>
    <row r="15" customFormat="false" ht="15" hidden="false" customHeight="false" outlineLevel="0" collapsed="false">
      <c r="A15" s="15" t="s">
        <v>37</v>
      </c>
      <c r="B15" s="26" t="n">
        <f aca="false">'Orçado anual'!L8</f>
        <v>1068100</v>
      </c>
      <c r="C15" s="26" t="n">
        <f aca="false">Forecast!O11</f>
        <v>953733.333333333</v>
      </c>
      <c r="D15" s="26" t="n">
        <f aca="false">'Orçado anual'!L14</f>
        <v>242300</v>
      </c>
      <c r="E15" s="26" t="n">
        <f aca="false">Forecast!O17</f>
        <v>165566.666666667</v>
      </c>
      <c r="F15" s="15" t="str">
        <f aca="false">Forecast!O8</f>
        <v>Projeção</v>
      </c>
    </row>
    <row r="16" customFormat="false" ht="15" hidden="false" customHeight="false" outlineLevel="0" collapsed="false">
      <c r="A16" s="15" t="s">
        <v>38</v>
      </c>
      <c r="B16" s="26" t="n">
        <f aca="false">'Orçado anual'!M8</f>
        <v>1117600</v>
      </c>
      <c r="C16" s="26" t="n">
        <f aca="false">Forecast!P11</f>
        <v>953733.333333333</v>
      </c>
      <c r="D16" s="26" t="n">
        <f aca="false">'Orçado anual'!M14</f>
        <v>182500</v>
      </c>
      <c r="E16" s="26" t="n">
        <f aca="false">Forecast!P17</f>
        <v>79066.6666666667</v>
      </c>
      <c r="F16" s="15" t="str">
        <f aca="false">Forecast!P8</f>
        <v>Projeção</v>
      </c>
    </row>
    <row r="17" customFormat="false" ht="15" hidden="false" customHeight="false" outlineLevel="0" collapsed="false">
      <c r="A17" s="18" t="s">
        <v>86</v>
      </c>
      <c r="B17" s="10" t="n">
        <f aca="false">SUM(B5:B16)</f>
        <v>11966800</v>
      </c>
      <c r="C17" s="10" t="n">
        <f aca="false">SUM(C5:C16)</f>
        <v>11144600</v>
      </c>
      <c r="D17" s="10" t="n">
        <f aca="false">SUM(D5:D16)</f>
        <v>2424500</v>
      </c>
      <c r="E17" s="10" t="n">
        <f aca="false">SUM(E5:E16)</f>
        <v>1759500</v>
      </c>
      <c r="F17" s="18"/>
    </row>
    <row r="37" customFormat="false" ht="15" hidden="false" customHeight="false" outlineLevel="0" collapsed="false">
      <c r="A37" s="11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2026-11-05T07:30:35Z</dcterms:created>
  <dc:creator>openpyxl</dc:creator>
  <dc:description/>
  <dc:language>en-US</dc:language>
  <cp:lastModifiedBy/>
  <dcterms:modified xsi:type="dcterms:W3CDTF">2026-11-05T04:30:36Z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