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Premissas" sheetId="2" state="visible" r:id="rId4"/>
    <sheet name="Semanal" sheetId="3" state="visible" r:id="rId5"/>
    <sheet name="Mensal" sheetId="4" state="visible" r:id="rId6"/>
    <sheet name="Resum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<sst xmlns="http://schemas.openxmlformats.org/spreadsheetml/2006/main" count="147" uniqueCount="112">
  <si>
    <t xml:space="preserve">Projeção de fluxo de caixa · Modelo LeverPro</t>
  </si>
  <si>
    <t xml:space="preserve">13 semanas para a gestão do dia a dia e 12 meses para o planejamento, com alerta de caixa mínimo.</t>
  </si>
  <si>
    <t xml:space="preserve">O que é</t>
  </si>
  <si>
    <t xml:space="preserve">Uma projeção de caixa mostra, período a período, quanto entra, quanto sai e com quanto você termina. A visão de 13 semanas pega o aperto antes que ele aconteça; a de 12 meses mostra se o ano fecha e quando será preciso captar.</t>
  </si>
  <si>
    <t xml:space="preserve">Como preencher</t>
  </si>
  <si>
    <t xml:space="preserve">1. Na aba Premissas, informe a empresa, a segunda-feira da 1ª semana, o saldo de caixa de hoje, o caixa mínimo e os prazos médios de recebimento e de pagamento.</t>
  </si>
  <si>
    <t xml:space="preserve">2. Na aba Semanal, lance a carteira a receber e as contas a pagar já existentes nas semanas em que vencem.</t>
  </si>
  <si>
    <t xml:space="preserve">3. Lance as vendas e as compras a prazo previstas: o modelo transforma em recebimento e pagamento depois do prazo das Premissas.</t>
  </si>
  <si>
    <t xml:space="preserve">4. Lance folha, impostos, aluguel, parcelas de empréstimos, investimentos e outras entradas nas semanas em que saem ou entram do banco.</t>
  </si>
  <si>
    <t xml:space="preserve">5. Repita a lógica na aba Mensal para os próximos 12 meses.</t>
  </si>
  <si>
    <t xml:space="preserve">6. Leia a aba Resumo: menor saldo, semana e mês críticos e quanto precisa captar para não furar o caixa mínimo.</t>
  </si>
  <si>
    <t xml:space="preserve">Legenda de cores</t>
  </si>
  <si>
    <t xml:space="preserve">Entrada: digite ou troque pelos seus números.</t>
  </si>
  <si>
    <t xml:space="preserve">Fórmula: não digite por cima.</t>
  </si>
  <si>
    <t xml:space="preserve">Subtotal, total ou saldo (fórmula).</t>
  </si>
  <si>
    <t xml:space="preserve">Abaixo do mínimo</t>
  </si>
  <si>
    <t xml:space="preserve">Alerta automático: saldo final abaixo do caixa mínimo.</t>
  </si>
  <si>
    <t xml:space="preserve">Observações</t>
  </si>
  <si>
    <t xml:space="preserve">Os números que vêm preenchidos são de uma empresa fictícia, só para você ver o modelo funcionando. Troque pelos seus.</t>
  </si>
  <si>
    <t xml:space="preserve">Lance cada valor no período em que o dinheiro entra ou sai do banco (regime de caixa), não na data da nota.</t>
  </si>
  <si>
    <t xml:space="preserve">As abas Semanal e Mensal são independentes: use a semanal para o curto prazo e a mensal para o ano.</t>
  </si>
  <si>
    <t xml:space="preserve">Dúvidas e sugestões: @alyssonguimaraes no Instagram e no LinkedIn.</t>
  </si>
  <si>
    <t xml:space="preserve">Modelo LeverPro · @alyssonguimaraes</t>
  </si>
  <si>
    <t xml:space="preserve">Premissas</t>
  </si>
  <si>
    <t xml:space="preserve">Células azuis são entradas. As defasagens em semanas e meses são calculadas a partir dos prazos.</t>
  </si>
  <si>
    <t xml:space="preserve">Empresa</t>
  </si>
  <si>
    <t xml:space="preserve">Empresa Exemplo Ltda.</t>
  </si>
  <si>
    <t xml:space="preserve">Nome que aparece no topo das abas.</t>
  </si>
  <si>
    <t xml:space="preserve">Início da projeção (segunda-feira da 1ª semana)</t>
  </si>
  <si>
    <t xml:space="preserve">A semana 1 começa nesta data; o mês 1 é o mês desta data.</t>
  </si>
  <si>
    <t xml:space="preserve">Saldo inicial de caixa</t>
  </si>
  <si>
    <t xml:space="preserve">Soma das contas bancárias e aplicações de resgate imediato no dia do início.</t>
  </si>
  <si>
    <t xml:space="preserve">Caixa mínimo</t>
  </si>
  <si>
    <t xml:space="preserve">Colchão de segurança. Referência comum: cerca de um mês de saídas fixas (ajuste à sua realidade).</t>
  </si>
  <si>
    <t xml:space="preserve">Prazo médio de recebimento (dias)</t>
  </si>
  <si>
    <t xml:space="preserve">Em quantos dias, em média, a venda a prazo vira dinheiro.</t>
  </si>
  <si>
    <t xml:space="preserve">Prazo médio de pagamento a fornecedores (dias)</t>
  </si>
  <si>
    <t xml:space="preserve">Em quantos dias, em média, a compra a prazo vira pagamento.</t>
  </si>
  <si>
    <t xml:space="preserve">Defasagens calculadas</t>
  </si>
  <si>
    <t xml:space="preserve">Recebimento: semanas depois da venda</t>
  </si>
  <si>
    <t xml:space="preserve">Arredondado para o período inteiro mais próximo.</t>
  </si>
  <si>
    <t xml:space="preserve">Pagamento: semanas depois da compra</t>
  </si>
  <si>
    <t xml:space="preserve">Recebimento: meses depois da venda</t>
  </si>
  <si>
    <t xml:space="preserve">Pagamento: meses depois da compra</t>
  </si>
  <si>
    <t xml:space="preserve">Fluxo de caixa semanal · 13 semanas</t>
  </si>
  <si>
    <t xml:space="preserve">Valores em R$, no regime de caixa. Saldo abaixo do caixa mínimo fica em vermelho.</t>
  </si>
  <si>
    <t xml:space="preserve">Semana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</si>
  <si>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</si>
  <si>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</si>
  <si>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</si>
  <si>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</si>
  <si>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</si>
  <si>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</si>
  <si>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</si>
  <si>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</si>
  <si>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</si>
  <si>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</si>
  <si>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</si>
  <si>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</si>
  <si>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</si>
  <si>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Total</t>
  </si>
  <si>
    <t xml:space="preserve">Início do período</t>
  </si>
  <si>
    <t xml:space="preserve">ENTRADAS</t>
  </si>
  <si>
    <t xml:space="preserve">Vendas a prazo do período (memória: vira recebimento depois do prazo)</t>
  </si>
  <si>
    <t xml:space="preserve">Recebimentos de vendas já faturadas (carteira atual)</t>
  </si>
  <si>
    <t xml:space="preserve">Recebimentos de clientes</t>
  </si>
  <si>
    <t xml:space="preserve">Outras entradas</t>
  </si>
  <si>
    <t xml:space="preserve">Total de entradas</t>
  </si>
  <si>
    <t xml:space="preserve">SAÍDAS</t>
  </si>
  <si>
    <t xml:space="preserve">Compras a prazo do período (memória: vira pagamento depois do prazo)</t>
  </si>
  <si>
    <t xml:space="preserve">Contas a pagar já lançadas (fornecedores)</t>
  </si>
  <si>
    <t xml:space="preserve">Fornecedores</t>
  </si>
  <si>
    <t xml:space="preserve">Folha e encargos</t>
  </si>
  <si>
    <t xml:space="preserve">Impostos</t>
  </si>
  <si>
    <t xml:space="preserve">Aluguel</t>
  </si>
  <si>
    <t xml:space="preserve">Empréstimos (parcelas)</t>
  </si>
  <si>
    <t xml:space="preserve">Investimentos</t>
  </si>
  <si>
    <t xml:space="preserve">Total de saídas</t>
  </si>
  <si>
    <t xml:space="preserve">CAIXA</t>
  </si>
  <si>
    <t xml:space="preserve">Saldo inicial</t>
  </si>
  <si>
    <t xml:space="preserve">Geração de caixa do período</t>
  </si>
  <si>
    <t xml:space="preserve">Saldo final</t>
  </si>
  <si>
    <t xml:space="preserve">Folga (falta) sobre o caixa mínimo</t>
  </si>
  <si>
    <t xml:space="preserve">Alerta</t>
  </si>
  <si>
    <t xml:space="preserve">Linhas em itálico (vendas e compras a prazo) são memória de cálculo: viram recebimento ou pagamento depois do prazo das Premissas.</t>
  </si>
  <si>
    <t xml:space="preserve">Fluxo de caixa mensal · 12 meses</t>
  </si>
  <si>
    <t xml:space="preserve">Mês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</si>
  <si>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</si>
  <si>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</si>
  <si>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</si>
  <si>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</si>
  <si>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</si>
  <si>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</si>
  <si>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</si>
  <si>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</si>
  <si>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</si>
  <si>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</si>
  <si>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</si>
  <si>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</si>
  <si>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Resumo da projeção de caixa</t>
  </si>
  <si>
    <t xml:space="preserve">Tudo nesta aba é fórmula: ela lê as abas Semanal e Mensal.</t>
  </si>
  <si>
    <t xml:space="preserve">Indicador</t>
  </si>
  <si>
    <t xml:space="preserve">13 semanas</t>
  </si>
  <si>
    <t xml:space="preserve">12 meses</t>
  </si>
  <si>
    <t xml:space="preserve">Saldo final do horizonte</t>
  </si>
  <si>
    <t xml:space="preserve">Menor saldo projetado</t>
  </si>
  <si>
    <t xml:space="preserve">Período crítico (menor saldo)</t>
  </si>
  <si>
    <t xml:space="preserve">Início do período crítico</t>
  </si>
  <si>
    <t xml:space="preserve">Períodos abaixo do caixa mínimo</t>
  </si>
  <si>
    <t xml:space="preserve">Necessidade de captação para manter o caixa mínimo</t>
  </si>
  <si>
    <t xml:space="preserve">Caixa mínimo de referência</t>
  </si>
  <si>
    <t xml:space="preserve">Leitura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</si>
</sst>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&quot;R$ &quot;#,##0;&quot;-R$ &quot;#,##0;\–"/>
    <numFmt numFmtId="166" formatCode="dd/mm/yyyy"/>
    <numFmt numFmtId="167" formatCode="0"/>
    <numFmt numFmtId="168" formatCode="dd/mm"/>
    <numFmt numFmtId="169" formatCode="mm/yyyy"/>
    <numFmt numFmtId="170" formatCode="@"/>
    <numFmt numFmtId="171" formatCode="&quot;R$ &quot;#,##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B3F"/>
      <name val="Calibri"/>
      <family val="0"/>
      <charset val="1"/>
    </font>
    <font>
      <i val="true"/>
      <sz val="10"/>
      <color rgb="FF5E6B8C"/>
      <name val="Calibri"/>
      <family val="0"/>
      <charset val="1"/>
    </font>
    <font>
      <b val="true"/>
      <sz val="12"/>
      <color rgb="FF0B1B3F"/>
      <name val="Calibri"/>
      <family val="0"/>
      <charset val="1"/>
    </font>
    <font>
      <sz val="10"/>
      <color rgb="FF2F5BEA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0"/>
      <color rgb="FFB42318"/>
      <name val="Calibri"/>
      <family val="0"/>
      <charset val="1"/>
    </font>
    <font>
      <i val="true"/>
      <sz val="9"/>
      <color rgb="FF5E6B8C"/>
      <name val="Calibri"/>
      <family val="0"/>
      <charset val="1"/>
    </font>
    <font>
      <b val="true"/>
      <sz val="10"/>
      <color rgb="FF0B1B3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10"/>
      <color rgb="FF2F5BEA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6FB"/>
        <bgColor rgb="FFEEF2FA"/>
      </patternFill>
    </fill>
    <fill>
      <patternFill patternType="solid">
        <fgColor rgb="FFEEF2FA"/>
        <bgColor rgb="FFF4F6FB"/>
      </patternFill>
    </fill>
    <fill>
      <patternFill patternType="solid">
        <fgColor rgb="FFFDE2D8"/>
        <bgColor rgb="FFEEF2FA"/>
      </patternFill>
    </fill>
    <fill>
      <patternFill patternType="solid">
        <fgColor rgb="FF0B1B3F"/>
        <bgColor rgb="FF003300"/>
      </patternFill>
    </fill>
    <fill>
      <patternFill patternType="solid">
        <fgColor rgb="FFE3EAF8"/>
        <bgColor rgb="FFEEF2F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B3F"/>
      </top>
      <bottom/>
      <diagonal/>
    </border>
    <border diagonalUp="false" diagonalDown="false">
      <left/>
      <right/>
      <top/>
      <bottom style="hair">
        <color rgb="FFD6DE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b val="1"/>
        <color rgb="FFB42318"/>
      </font>
      <fill>
        <patternFill>
          <bgColor rgb="FFFDE2D8"/>
        </patternFill>
      </fill>
    </dxf>
    <dxf>
      <font>
        <b val="1"/>
        <color rgb="FFB42318"/>
      </font>
    </dxf>
    <dxf>
      <font>
        <b val="1"/>
        <color rgb="FF0F766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D9D9D9"/>
      <rgbColor rgb="FF878787"/>
      <rgbColor rgb="FF9999FF"/>
      <rgbColor rgb="FF993366"/>
      <rgbColor rgb="FFF4F6FB"/>
      <rgbColor rgb="FFE3EAF8"/>
      <rgbColor rgb="FF660066"/>
      <rgbColor rgb="FFFF8080"/>
      <rgbColor rgb="FF0066CC"/>
      <rgbColor rgb="FFD6DE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A"/>
      <rgbColor rgb="FFCCFFCC"/>
      <rgbColor rgb="FFFFFF99"/>
      <rgbColor rgb="FF99CCFF"/>
      <rgbColor rgb="FFFF99CC"/>
      <rgbColor rgb="FFCC99FF"/>
      <rgbColor rgb="FFFDE2D8"/>
      <rgbColor rgb="FF2F5BEA"/>
      <rgbColor rgb="FF33CCCC"/>
      <rgbColor rgb="FF99CC00"/>
      <rgbColor rgb="FFFFCC00"/>
      <rgbColor rgb="FFFF9900"/>
      <rgbColor rgb="FFE5484D"/>
      <rgbColor rgb="FF5E6B8C"/>
      <rgbColor rgb="FF969696"/>
      <rgbColor rgb="FF0B1B3F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final semanal × caixa mínimo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Semanal!A28</c:f>
              <c:strCache>
                <c:ptCount val="1"/>
                <c:pt idx="0">
                  <c:v>Saldo final</c:v>
                </c:pt>
              </c:strCache>
            </c:strRef>
          </c:tx>
          <c:spPr>
            <a:solidFill>
              <a:srgbClr val="2f5bea"/>
            </a:solidFill>
            <a:ln w="28080">
              <a:solidFill>
                <a:srgbClr val="2f5be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Semanal!$B$5:$N$5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Semanal!$B$28:$N$28</c:f>
              <c:numCache>
                <c:formatCode>"R$ "#,##0;"-R$ "#,##0;\–</c:formatCode>
                <c:ptCount val="13"/>
                <c:pt idx="0">
                  <c:v>517000</c:v>
                </c:pt>
                <c:pt idx="1">
                  <c:v>481000</c:v>
                </c:pt>
                <c:pt idx="2">
                  <c:v>592000</c:v>
                </c:pt>
                <c:pt idx="3">
                  <c:v>585000</c:v>
                </c:pt>
                <c:pt idx="4">
                  <c:v>517000</c:v>
                </c:pt>
                <c:pt idx="5">
                  <c:v>207000</c:v>
                </c:pt>
                <c:pt idx="6">
                  <c:v>307000</c:v>
                </c:pt>
                <c:pt idx="7">
                  <c:v>422000</c:v>
                </c:pt>
                <c:pt idx="8">
                  <c:v>368000</c:v>
                </c:pt>
                <c:pt idx="9">
                  <c:v>452000</c:v>
                </c:pt>
                <c:pt idx="10">
                  <c:v>400000</c:v>
                </c:pt>
                <c:pt idx="11">
                  <c:v>490000</c:v>
                </c:pt>
                <c:pt idx="12">
                  <c:v>446000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Semanal!A29</c:f>
              <c:strCache>
                <c:ptCount val="1"/>
                <c:pt idx="0">
                  <c:v>Caixa mínimo</c:v>
                </c:pt>
              </c:strCache>
            </c:strRef>
          </c:tx>
          <c:spPr>
            <a:solidFill>
              <a:srgbClr val="e5484d"/>
            </a:solidFill>
            <a:ln w="28440">
              <a:solidFill>
                <a:srgbClr val="e5484d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Semanal!$B$5:$N$5</c:f>
              <c:strCache>
                <c:ptCount val="13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  <c:pt idx="12">
                  <c:v>S13</c:v>
                </c:pt>
              </c:strCache>
            </c:strRef>
          </c:cat>
          <c:val>
            <c:numRef>
              <c:f>Semanal!$B$29:$N$29</c:f>
              <c:numCache>
                <c:formatCode>"R$ "#,##0;"-R$ "#,##0;\–</c:formatCode>
                <c:ptCount val="13"/>
                <c:pt idx="0">
                  <c:v>250000</c:v>
                </c:pt>
                <c:pt idx="1">
                  <c:v>250000</c:v>
                </c:pt>
                <c:pt idx="2">
                  <c:v>250000</c:v>
                </c:pt>
                <c:pt idx="3">
                  <c:v>250000</c:v>
                </c:pt>
                <c:pt idx="4">
                  <c:v>250000</c:v>
                </c:pt>
                <c:pt idx="5">
                  <c:v>250000</c:v>
                </c:pt>
                <c:pt idx="6">
                  <c:v>250000</c:v>
                </c:pt>
                <c:pt idx="7">
                  <c:v>250000</c:v>
                </c:pt>
                <c:pt idx="8">
                  <c:v>250000</c:v>
                </c:pt>
                <c:pt idx="9">
                  <c:v>250000</c:v>
                </c:pt>
                <c:pt idx="10">
                  <c:v>250000</c:v>
                </c:pt>
                <c:pt idx="11">
                  <c:v>250000</c:v>
                </c:pt>
                <c:pt idx="12">
                  <c:v>250000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9527930"/>
        <c:axId val="88867085"/>
      </c:lineChart>
      <c:catAx>
        <c:axId val="995279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867085"/>
        <c:crosses val="autoZero"/>
        <c:auto val="1"/>
        <c:lblAlgn val="ctr"/>
        <c:lblOffset val="100"/>
        <c:noMultiLvlLbl val="0"/>
      </c:catAx>
      <c:valAx>
        <c:axId val="88867085"/>
        <c:scaling>
          <c:orientation val="minMax"/>
        </c:scaling>
        <c:delete val="0"/>
        <c:axPos val="l"/>
        <c:numFmt formatCode="&quot;R$ &quot;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2793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130680</xdr:rowOff>
    </xdr:from>
    <xdr:to>
      <xdr:col>4</xdr:col>
      <xdr:colOff>10080</xdr:colOff>
      <xdr:row>36</xdr:row>
      <xdr:rowOff>153000</xdr:rowOff>
    </xdr:to>
    <xdr:graphicFrame>
      <xdr:nvGraphicFramePr>
        <xdr:cNvPr id="0" name="Chart 1"/>
        <xdr:cNvGraphicFramePr/>
      </xdr:nvGraphicFramePr>
      <xdr:xfrm>
        <a:off x="0" y="47433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8" min="4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30" hidden="false" customHeight="true" outlineLevel="0" collapsed="false">
      <c r="B5" s="4" t="s">
        <v>3</v>
      </c>
      <c r="C5" s="4"/>
      <c r="D5" s="4"/>
      <c r="E5" s="4"/>
      <c r="F5" s="4"/>
      <c r="G5" s="4"/>
      <c r="H5" s="4"/>
    </row>
    <row r="7" customFormat="false" ht="15" hidden="false" customHeight="false" outlineLevel="0" collapsed="false">
      <c r="B7" s="3" t="s">
        <v>4</v>
      </c>
    </row>
    <row r="8" customFormat="false" ht="30" hidden="false" customHeight="true" outlineLevel="0" collapsed="false">
      <c r="B8" s="4" t="s">
        <v>5</v>
      </c>
      <c r="C8" s="4"/>
      <c r="D8" s="4"/>
      <c r="E8" s="4"/>
      <c r="F8" s="4"/>
      <c r="G8" s="4"/>
      <c r="H8" s="4"/>
    </row>
    <row r="9" customFormat="false" ht="30" hidden="false" customHeight="true" outlineLevel="0" collapsed="false">
      <c r="B9" s="4" t="s">
        <v>6</v>
      </c>
      <c r="C9" s="4"/>
      <c r="D9" s="4"/>
      <c r="E9" s="4"/>
      <c r="F9" s="4"/>
      <c r="G9" s="4"/>
      <c r="H9" s="4"/>
    </row>
    <row r="10" customFormat="false" ht="30" hidden="false" customHeight="true" outlineLevel="0" collapsed="false">
      <c r="B10" s="4" t="s">
        <v>7</v>
      </c>
      <c r="C10" s="4"/>
      <c r="D10" s="4"/>
      <c r="E10" s="4"/>
      <c r="F10" s="4"/>
      <c r="G10" s="4"/>
      <c r="H10" s="4"/>
    </row>
    <row r="11" customFormat="false" ht="30" hidden="false" customHeight="true" outlineLevel="0" collapsed="false">
      <c r="B11" s="4" t="s">
        <v>8</v>
      </c>
      <c r="C11" s="4"/>
      <c r="D11" s="4"/>
      <c r="E11" s="4"/>
      <c r="F11" s="4"/>
      <c r="G11" s="4"/>
      <c r="H11" s="4"/>
    </row>
    <row r="12" customFormat="false" ht="30" hidden="false" customHeight="true" outlineLevel="0" collapsed="false">
      <c r="B12" s="4" t="s">
        <v>9</v>
      </c>
      <c r="C12" s="4"/>
      <c r="D12" s="4"/>
      <c r="E12" s="4"/>
      <c r="F12" s="4"/>
      <c r="G12" s="4"/>
      <c r="H12" s="4"/>
    </row>
    <row r="13" customFormat="false" ht="30" hidden="false" customHeight="true" outlineLevel="0" collapsed="false">
      <c r="B13" s="4" t="s">
        <v>10</v>
      </c>
      <c r="C13" s="4"/>
      <c r="D13" s="4"/>
      <c r="E13" s="4"/>
      <c r="F13" s="4"/>
      <c r="G13" s="4"/>
      <c r="H13" s="4"/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5" t="n">
        <v>125000</v>
      </c>
      <c r="C16" s="6" t="s">
        <v>12</v>
      </c>
    </row>
    <row r="17" customFormat="false" ht="15" hidden="false" customHeight="false" outlineLevel="0" collapsed="false">
      <c r="B17" s="7" t="n">
        <f aca="false">B16*2</f>
        <v>250000</v>
      </c>
      <c r="C17" s="6" t="s">
        <v>13</v>
      </c>
    </row>
    <row r="18" customFormat="false" ht="15" hidden="false" customHeight="false" outlineLevel="0" collapsed="false">
      <c r="B18" s="8" t="n">
        <f aca="false">B16+B17</f>
        <v>375000</v>
      </c>
      <c r="C18" s="6" t="s">
        <v>14</v>
      </c>
    </row>
    <row r="19" customFormat="false" ht="15" hidden="false" customHeight="false" outlineLevel="0" collapsed="false">
      <c r="B19" s="9" t="s">
        <v>15</v>
      </c>
      <c r="C19" s="6" t="s">
        <v>16</v>
      </c>
    </row>
    <row r="21" customFormat="false" ht="15" hidden="false" customHeight="false" outlineLevel="0" collapsed="false">
      <c r="B21" s="3" t="s">
        <v>17</v>
      </c>
    </row>
    <row r="22" customFormat="false" ht="30" hidden="false" customHeight="true" outlineLevel="0" collapsed="false">
      <c r="B22" s="4" t="s">
        <v>18</v>
      </c>
      <c r="C22" s="4"/>
      <c r="D22" s="4"/>
      <c r="E22" s="4"/>
      <c r="F22" s="4"/>
      <c r="G22" s="4"/>
      <c r="H22" s="4"/>
    </row>
    <row r="23" customFormat="false" ht="30" hidden="false" customHeight="true" outlineLevel="0" collapsed="false">
      <c r="B23" s="4" t="s">
        <v>19</v>
      </c>
      <c r="C23" s="4"/>
      <c r="D23" s="4"/>
      <c r="E23" s="4"/>
      <c r="F23" s="4"/>
      <c r="G23" s="4"/>
      <c r="H23" s="4"/>
    </row>
    <row r="24" customFormat="false" ht="30" hidden="false" customHeight="true" outlineLevel="0" collapsed="false">
      <c r="B24" s="4" t="s">
        <v>20</v>
      </c>
      <c r="C24" s="4"/>
      <c r="D24" s="4"/>
      <c r="E24" s="4"/>
      <c r="F24" s="4"/>
      <c r="G24" s="4"/>
      <c r="H24" s="4"/>
    </row>
    <row r="26" customFormat="false" ht="15" hidden="false" customHeight="false" outlineLevel="0" collapsed="false">
      <c r="B26" s="10" t="s">
        <v>21</v>
      </c>
    </row>
    <row r="28" customFormat="false" ht="15" hidden="false" customHeight="false" outlineLevel="0" collapsed="false">
      <c r="A28" s="11" t="s">
        <v>22</v>
      </c>
    </row>
  </sheetData>
  <mergeCells count="10">
    <mergeCell ref="B5:H5"/>
    <mergeCell ref="B8:H8"/>
    <mergeCell ref="B9:H9"/>
    <mergeCell ref="B10:H10"/>
    <mergeCell ref="B11:H11"/>
    <mergeCell ref="B12:H12"/>
    <mergeCell ref="B13:H13"/>
    <mergeCell ref="B22:H22"/>
    <mergeCell ref="B23:H23"/>
    <mergeCell ref="B24:H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15" hidden="false" customHeight="false" outlineLevel="0" collapsed="false">
      <c r="A4" s="10" t="s">
        <v>25</v>
      </c>
      <c r="B4" s="12" t="s">
        <v>26</v>
      </c>
      <c r="C4" s="2" t="s">
        <v>27</v>
      </c>
    </row>
    <row r="5" customFormat="false" ht="15" hidden="false" customHeight="false" outlineLevel="0" collapsed="false">
      <c r="A5" s="10" t="s">
        <v>28</v>
      </c>
      <c r="B5" s="13" t="n">
        <v>46335</v>
      </c>
      <c r="C5" s="2" t="s">
        <v>29</v>
      </c>
    </row>
    <row r="6" customFormat="false" ht="15" hidden="false" customHeight="false" outlineLevel="0" collapsed="false">
      <c r="A6" s="10" t="s">
        <v>30</v>
      </c>
      <c r="B6" s="14" t="n">
        <v>480000</v>
      </c>
      <c r="C6" s="2" t="s">
        <v>31</v>
      </c>
    </row>
    <row r="7" customFormat="false" ht="15" hidden="false" customHeight="false" outlineLevel="0" collapsed="false">
      <c r="A7" s="10" t="s">
        <v>32</v>
      </c>
      <c r="B7" s="14" t="n">
        <v>250000</v>
      </c>
      <c r="C7" s="2" t="s">
        <v>33</v>
      </c>
    </row>
    <row r="8" customFormat="false" ht="15" hidden="false" customHeight="false" outlineLevel="0" collapsed="false">
      <c r="A8" s="10" t="s">
        <v>34</v>
      </c>
      <c r="B8" s="15" t="n">
        <v>28</v>
      </c>
      <c r="C8" s="2" t="s">
        <v>35</v>
      </c>
    </row>
    <row r="9" customFormat="false" ht="15" hidden="false" customHeight="false" outlineLevel="0" collapsed="false">
      <c r="A9" s="10" t="s">
        <v>36</v>
      </c>
      <c r="B9" s="15" t="n">
        <v>21</v>
      </c>
      <c r="C9" s="2" t="s">
        <v>37</v>
      </c>
    </row>
    <row r="11" customFormat="false" ht="15" hidden="false" customHeight="false" outlineLevel="0" collapsed="false">
      <c r="A11" s="16" t="s">
        <v>38</v>
      </c>
    </row>
    <row r="12" customFormat="false" ht="15" hidden="false" customHeight="false" outlineLevel="0" collapsed="false">
      <c r="A12" s="0" t="s">
        <v>39</v>
      </c>
      <c r="B12" s="17" t="n">
        <f aca="false">MAX(0,ROUND(B8/7,0))</f>
        <v>4</v>
      </c>
      <c r="C12" s="2" t="s">
        <v>40</v>
      </c>
    </row>
    <row r="13" customFormat="false" ht="15" hidden="false" customHeight="false" outlineLevel="0" collapsed="false">
      <c r="A13" s="0" t="s">
        <v>41</v>
      </c>
      <c r="B13" s="17" t="n">
        <f aca="false">MAX(0,ROUND(B9/7,0))</f>
        <v>3</v>
      </c>
    </row>
    <row r="14" customFormat="false" ht="15" hidden="false" customHeight="false" outlineLevel="0" collapsed="false">
      <c r="A14" s="0" t="s">
        <v>42</v>
      </c>
      <c r="B14" s="17" t="n">
        <f aca="false">MAX(0,ROUND(B8/30,0))</f>
        <v>1</v>
      </c>
    </row>
    <row r="15" customFormat="false" ht="15" hidden="false" customHeight="false" outlineLevel="0" collapsed="false">
      <c r="A15" s="0" t="s">
        <v>43</v>
      </c>
      <c r="B15" s="17" t="n">
        <f aca="false">MAX(0,ROUND(B9/30,0))</f>
        <v>1</v>
      </c>
    </row>
    <row r="18" customFormat="false" ht="15" hidden="false" customHeight="false" outlineLevel="0" collapsed="false">
      <c r="A18" s="11" t="s">
        <v>22</v>
      </c>
    </row>
  </sheetData>
  <dataValidations count="3">
    <dataValidation allowBlank="false" error="Use um número de 0 a 360 dias." errorStyle="stop" operator="between" showDropDown="false" showErrorMessage="true" showInputMessage="false" sqref="B8:B9" type="whole">
      <formula1>0</formula1>
      <formula2>360</formula2>
    </dataValidation>
    <dataValidation allowBlank="false" error="O caixa mínimo não pode ser negativo." errorStyle="stop" operator="greaterThanOrEqual" showDropDown="false" showErrorMessage="true" showInputMessage="false" sqref="B7" type="decimal">
      <formula1>0</formula1>
      <formula2>0</formula2>
    </dataValidation>
    <dataValidation allowBlank="false" error="Informe uma data válida (dd/mm/aaaa)." errorStyle="stop" operator="greaterThan" showDropDown="false" showErrorMessage="true" showInputMessage="false" sqref="B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4" min="2" style="0" width="12.5"/>
    <col collapsed="false" customWidth="true" hidden="false" outlineLevel="0" max="15" min="15" style="0" width="15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10" t="str">
        <f aca="false">Premissas!$B$4</f>
        <v>Empresa Exemplo Ltda.</v>
      </c>
    </row>
    <row r="5" customFormat="false" ht="25.5" hidden="false" customHeight="true" outlineLevel="0" collapsed="false">
      <c r="A5" s="18" t="s">
        <v>46</v>
      </c>
      <c r="B5" s="19" t="s">
        <v>47</v>
      </c>
      <c r="C5" s="19" t="s">
        <v>48</v>
      </c>
      <c r="D5" s="19" t="s">
        <v>49</v>
      </c>
      <c r="E5" s="19" t="s">
        <v>50</v>
      </c>
      <c r="F5" s="19" t="s">
        <v>51</v>
      </c>
      <c r="G5" s="19" t="s">
        <v>52</v>
      </c>
      <c r="H5" s="19" t="s">
        <v>53</v>
      </c>
      <c r="I5" s="19" t="s">
        <v>54</v>
      </c>
      <c r="J5" s="19" t="s">
        <v>55</v>
      </c>
      <c r="K5" s="19" t="s">
        <v>56</v>
      </c>
      <c r="L5" s="19" t="s">
        <v>57</v>
      </c>
      <c r="M5" s="19" t="s">
        <v>58</v>
      </c>
      <c r="N5" s="19" t="s">
        <v>59</v>
      </c>
      <c r="O5" s="19" t="s">
        <v>60</v>
      </c>
    </row>
    <row r="6" customFormat="false" ht="15" hidden="false" customHeight="false" outlineLevel="0" collapsed="false">
      <c r="A6" s="11" t="s">
        <v>61</v>
      </c>
      <c r="B6" s="20" t="n">
        <f aca="false">Premissas!$B$5+0</f>
        <v>46335</v>
      </c>
      <c r="C6" s="20" t="n">
        <f aca="false">Premissas!$B$5+7</f>
        <v>46342</v>
      </c>
      <c r="D6" s="20" t="n">
        <f aca="false">Premissas!$B$5+14</f>
        <v>46349</v>
      </c>
      <c r="E6" s="20" t="n">
        <f aca="false">Premissas!$B$5+21</f>
        <v>46356</v>
      </c>
      <c r="F6" s="20" t="n">
        <f aca="false">Premissas!$B$5+28</f>
        <v>46363</v>
      </c>
      <c r="G6" s="20" t="n">
        <f aca="false">Premissas!$B$5+35</f>
        <v>46370</v>
      </c>
      <c r="H6" s="20" t="n">
        <f aca="false">Premissas!$B$5+42</f>
        <v>46377</v>
      </c>
      <c r="I6" s="20" t="n">
        <f aca="false">Premissas!$B$5+49</f>
        <v>46384</v>
      </c>
      <c r="J6" s="20" t="n">
        <f aca="false">Premissas!$B$5+56</f>
        <v>46391</v>
      </c>
      <c r="K6" s="20" t="n">
        <f aca="false">Premissas!$B$5+63</f>
        <v>46398</v>
      </c>
      <c r="L6" s="20" t="n">
        <f aca="false">Premissas!$B$5+70</f>
        <v>46405</v>
      </c>
      <c r="M6" s="20" t="n">
        <f aca="false">Premissas!$B$5+77</f>
        <v>46412</v>
      </c>
      <c r="N6" s="20" t="n">
        <f aca="false">Premissas!$B$5+84</f>
        <v>46419</v>
      </c>
    </row>
    <row r="7" customFormat="false" ht="15" hidden="false" customHeight="false" outlineLevel="0" collapsed="false">
      <c r="A7" s="21" t="s">
        <v>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customFormat="false" ht="15" hidden="false" customHeight="false" outlineLevel="0" collapsed="false">
      <c r="A8" s="23" t="s">
        <v>63</v>
      </c>
      <c r="B8" s="24" t="n">
        <v>205000</v>
      </c>
      <c r="C8" s="24" t="n">
        <v>210000</v>
      </c>
      <c r="D8" s="24" t="n">
        <v>198000</v>
      </c>
      <c r="E8" s="24" t="n">
        <v>215000</v>
      </c>
      <c r="F8" s="24" t="n">
        <v>220000</v>
      </c>
      <c r="G8" s="24" t="n">
        <v>212000</v>
      </c>
      <c r="H8" s="24" t="n">
        <v>190000</v>
      </c>
      <c r="I8" s="24" t="n">
        <v>185000</v>
      </c>
      <c r="J8" s="24" t="n">
        <v>205000</v>
      </c>
      <c r="K8" s="24" t="n">
        <v>218000</v>
      </c>
      <c r="L8" s="24" t="n">
        <v>225000</v>
      </c>
      <c r="M8" s="24" t="n">
        <v>230000</v>
      </c>
      <c r="N8" s="24" t="n">
        <v>222000</v>
      </c>
      <c r="O8" s="25" t="n">
        <f aca="false">SUM(B8:N8)</f>
        <v>2735000</v>
      </c>
    </row>
    <row r="9" customFormat="false" ht="15" hidden="false" customHeight="false" outlineLevel="0" collapsed="false">
      <c r="A9" s="26" t="s">
        <v>64</v>
      </c>
      <c r="B9" s="27" t="n">
        <v>195000</v>
      </c>
      <c r="C9" s="27" t="n">
        <v>200000</v>
      </c>
      <c r="D9" s="27" t="n">
        <v>205000</v>
      </c>
      <c r="E9" s="27" t="n">
        <v>190000</v>
      </c>
      <c r="F9" s="27"/>
      <c r="G9" s="27"/>
      <c r="H9" s="27"/>
      <c r="I9" s="27"/>
      <c r="J9" s="27"/>
      <c r="K9" s="27"/>
      <c r="L9" s="27"/>
      <c r="M9" s="27"/>
      <c r="N9" s="27"/>
      <c r="O9" s="25" t="n">
        <f aca="false">SUM(B9:N9)</f>
        <v>790000</v>
      </c>
    </row>
    <row r="10" customFormat="false" ht="15" hidden="false" customHeight="false" outlineLevel="0" collapsed="false">
      <c r="A10" s="28" t="s">
        <v>65</v>
      </c>
      <c r="B10" s="25" t="n">
        <f aca="false">B9+IF(1&gt;Premissas!$B$12,INDEX($B$8:$N$8,1,MAX(1,1-Premissas!$B$12)),0)</f>
        <v>195000</v>
      </c>
      <c r="C10" s="25" t="n">
        <f aca="false">C9+IF(2&gt;Premissas!$B$12,INDEX($B$8:$N$8,1,MAX(1,2-Premissas!$B$12)),0)</f>
        <v>200000</v>
      </c>
      <c r="D10" s="25" t="n">
        <f aca="false">D9+IF(3&gt;Premissas!$B$12,INDEX($B$8:$N$8,1,MAX(1,3-Premissas!$B$12)),0)</f>
        <v>205000</v>
      </c>
      <c r="E10" s="25" t="n">
        <f aca="false">E9+IF(4&gt;Premissas!$B$12,INDEX($B$8:$N$8,1,MAX(1,4-Premissas!$B$12)),0)</f>
        <v>190000</v>
      </c>
      <c r="F10" s="25" t="n">
        <f aca="false">F9+IF(5&gt;Premissas!$B$12,INDEX($B$8:$N$8,1,MAX(1,5-Premissas!$B$12)),0)</f>
        <v>205000</v>
      </c>
      <c r="G10" s="25" t="n">
        <f aca="false">G9+IF(6&gt;Premissas!$B$12,INDEX($B$8:$N$8,1,MAX(1,6-Premissas!$B$12)),0)</f>
        <v>210000</v>
      </c>
      <c r="H10" s="25" t="n">
        <f aca="false">H9+IF(7&gt;Premissas!$B$12,INDEX($B$8:$N$8,1,MAX(1,7-Premissas!$B$12)),0)</f>
        <v>198000</v>
      </c>
      <c r="I10" s="25" t="n">
        <f aca="false">I9+IF(8&gt;Premissas!$B$12,INDEX($B$8:$N$8,1,MAX(1,8-Premissas!$B$12)),0)</f>
        <v>215000</v>
      </c>
      <c r="J10" s="25" t="n">
        <f aca="false">J9+IF(9&gt;Premissas!$B$12,INDEX($B$8:$N$8,1,MAX(1,9-Premissas!$B$12)),0)</f>
        <v>220000</v>
      </c>
      <c r="K10" s="25" t="n">
        <f aca="false">K9+IF(10&gt;Premissas!$B$12,INDEX($B$8:$N$8,1,MAX(1,10-Premissas!$B$12)),0)</f>
        <v>212000</v>
      </c>
      <c r="L10" s="25" t="n">
        <f aca="false">L9+IF(11&gt;Premissas!$B$12,INDEX($B$8:$N$8,1,MAX(1,11-Premissas!$B$12)),0)</f>
        <v>190000</v>
      </c>
      <c r="M10" s="25" t="n">
        <f aca="false">M9+IF(12&gt;Premissas!$B$12,INDEX($B$8:$N$8,1,MAX(1,12-Premissas!$B$12)),0)</f>
        <v>185000</v>
      </c>
      <c r="N10" s="25" t="n">
        <f aca="false">N9+IF(13&gt;Premissas!$B$12,INDEX($B$8:$N$8,1,MAX(1,13-Premissas!$B$12)),0)</f>
        <v>205000</v>
      </c>
      <c r="O10" s="25" t="n">
        <f aca="false">SUM(B10:N10)</f>
        <v>2630000</v>
      </c>
    </row>
    <row r="11" customFormat="false" ht="15" hidden="false" customHeight="false" outlineLevel="0" collapsed="false">
      <c r="A11" s="26" t="s">
        <v>66</v>
      </c>
      <c r="B11" s="27"/>
      <c r="C11" s="27"/>
      <c r="D11" s="27"/>
      <c r="E11" s="27"/>
      <c r="F11" s="27"/>
      <c r="G11" s="27" t="n">
        <v>15000</v>
      </c>
      <c r="H11" s="27"/>
      <c r="I11" s="27"/>
      <c r="J11" s="27"/>
      <c r="K11" s="27" t="n">
        <v>8000</v>
      </c>
      <c r="L11" s="27"/>
      <c r="M11" s="27"/>
      <c r="N11" s="27"/>
      <c r="O11" s="25" t="n">
        <f aca="false">SUM(B11:N11)</f>
        <v>23000</v>
      </c>
    </row>
    <row r="12" customFormat="false" ht="15" hidden="false" customHeight="false" outlineLevel="0" collapsed="false">
      <c r="A12" s="29" t="s">
        <v>67</v>
      </c>
      <c r="B12" s="8" t="n">
        <f aca="false">B10+B11</f>
        <v>195000</v>
      </c>
      <c r="C12" s="8" t="n">
        <f aca="false">C10+C11</f>
        <v>200000</v>
      </c>
      <c r="D12" s="8" t="n">
        <f aca="false">D10+D11</f>
        <v>205000</v>
      </c>
      <c r="E12" s="8" t="n">
        <f aca="false">E10+E11</f>
        <v>190000</v>
      </c>
      <c r="F12" s="8" t="n">
        <f aca="false">F10+F11</f>
        <v>205000</v>
      </c>
      <c r="G12" s="8" t="n">
        <f aca="false">G10+G11</f>
        <v>225000</v>
      </c>
      <c r="H12" s="8" t="n">
        <f aca="false">H10+H11</f>
        <v>198000</v>
      </c>
      <c r="I12" s="8" t="n">
        <f aca="false">I10+I11</f>
        <v>215000</v>
      </c>
      <c r="J12" s="8" t="n">
        <f aca="false">J10+J11</f>
        <v>220000</v>
      </c>
      <c r="K12" s="8" t="n">
        <f aca="false">K10+K11</f>
        <v>220000</v>
      </c>
      <c r="L12" s="8" t="n">
        <f aca="false">L10+L11</f>
        <v>190000</v>
      </c>
      <c r="M12" s="8" t="n">
        <f aca="false">M10+M11</f>
        <v>185000</v>
      </c>
      <c r="N12" s="8" t="n">
        <f aca="false">N10+N11</f>
        <v>205000</v>
      </c>
      <c r="O12" s="8" t="n">
        <f aca="false">SUM(B12:N12)</f>
        <v>2653000</v>
      </c>
    </row>
    <row r="14" customFormat="false" ht="15" hidden="false" customHeight="false" outlineLevel="0" collapsed="false">
      <c r="A14" s="21" t="s">
        <v>68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customFormat="false" ht="15" hidden="false" customHeight="false" outlineLevel="0" collapsed="false">
      <c r="A15" s="23" t="s">
        <v>69</v>
      </c>
      <c r="B15" s="24" t="n">
        <v>92000</v>
      </c>
      <c r="C15" s="24" t="n">
        <v>95000</v>
      </c>
      <c r="D15" s="24" t="n">
        <v>90000</v>
      </c>
      <c r="E15" s="24" t="n">
        <v>98000</v>
      </c>
      <c r="F15" s="24" t="n">
        <v>100000</v>
      </c>
      <c r="G15" s="24" t="n">
        <v>96000</v>
      </c>
      <c r="H15" s="24" t="n">
        <v>94000</v>
      </c>
      <c r="I15" s="24" t="n">
        <v>90000</v>
      </c>
      <c r="J15" s="24" t="n">
        <v>95000</v>
      </c>
      <c r="K15" s="24" t="n">
        <v>99000</v>
      </c>
      <c r="L15" s="24" t="n">
        <v>102000</v>
      </c>
      <c r="M15" s="24" t="n">
        <v>104000</v>
      </c>
      <c r="N15" s="24" t="n">
        <v>100000</v>
      </c>
      <c r="O15" s="25" t="n">
        <f aca="false">SUM(B15:N15)</f>
        <v>1255000</v>
      </c>
    </row>
    <row r="16" customFormat="false" ht="15" hidden="false" customHeight="false" outlineLevel="0" collapsed="false">
      <c r="A16" s="26" t="s">
        <v>70</v>
      </c>
      <c r="B16" s="27" t="n">
        <v>88000</v>
      </c>
      <c r="C16" s="27" t="n">
        <v>91000</v>
      </c>
      <c r="D16" s="27" t="n">
        <v>94000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5" t="n">
        <f aca="false">SUM(B16:N16)</f>
        <v>273000</v>
      </c>
    </row>
    <row r="17" customFormat="false" ht="15" hidden="false" customHeight="false" outlineLevel="0" collapsed="false">
      <c r="A17" s="28" t="s">
        <v>71</v>
      </c>
      <c r="B17" s="25" t="n">
        <f aca="false">B16+IF(1&gt;Premissas!$B$13,INDEX($B$15:$N$15,1,MAX(1,1-Premissas!$B$13)),0)</f>
        <v>88000</v>
      </c>
      <c r="C17" s="25" t="n">
        <f aca="false">C16+IF(2&gt;Premissas!$B$13,INDEX($B$15:$N$15,1,MAX(1,2-Premissas!$B$13)),0)</f>
        <v>91000</v>
      </c>
      <c r="D17" s="25" t="n">
        <f aca="false">D16+IF(3&gt;Premissas!$B$13,INDEX($B$15:$N$15,1,MAX(1,3-Premissas!$B$13)),0)</f>
        <v>94000</v>
      </c>
      <c r="E17" s="25" t="n">
        <f aca="false">E16+IF(4&gt;Premissas!$B$13,INDEX($B$15:$N$15,1,MAX(1,4-Premissas!$B$13)),0)</f>
        <v>92000</v>
      </c>
      <c r="F17" s="25" t="n">
        <f aca="false">F16+IF(5&gt;Premissas!$B$13,INDEX($B$15:$N$15,1,MAX(1,5-Premissas!$B$13)),0)</f>
        <v>95000</v>
      </c>
      <c r="G17" s="25" t="n">
        <f aca="false">G16+IF(6&gt;Premissas!$B$13,INDEX($B$15:$N$15,1,MAX(1,6-Premissas!$B$13)),0)</f>
        <v>90000</v>
      </c>
      <c r="H17" s="25" t="n">
        <f aca="false">H16+IF(7&gt;Premissas!$B$13,INDEX($B$15:$N$15,1,MAX(1,7-Premissas!$B$13)),0)</f>
        <v>98000</v>
      </c>
      <c r="I17" s="25" t="n">
        <f aca="false">I16+IF(8&gt;Premissas!$B$13,INDEX($B$15:$N$15,1,MAX(1,8-Premissas!$B$13)),0)</f>
        <v>100000</v>
      </c>
      <c r="J17" s="25" t="n">
        <f aca="false">J16+IF(9&gt;Premissas!$B$13,INDEX($B$15:$N$15,1,MAX(1,9-Premissas!$B$13)),0)</f>
        <v>96000</v>
      </c>
      <c r="K17" s="25" t="n">
        <f aca="false">K16+IF(10&gt;Premissas!$B$13,INDEX($B$15:$N$15,1,MAX(1,10-Premissas!$B$13)),0)</f>
        <v>94000</v>
      </c>
      <c r="L17" s="25" t="n">
        <f aca="false">L16+IF(11&gt;Premissas!$B$13,INDEX($B$15:$N$15,1,MAX(1,11-Premissas!$B$13)),0)</f>
        <v>90000</v>
      </c>
      <c r="M17" s="25" t="n">
        <f aca="false">M16+IF(12&gt;Premissas!$B$13,INDEX($B$15:$N$15,1,MAX(1,12-Premissas!$B$13)),0)</f>
        <v>95000</v>
      </c>
      <c r="N17" s="25" t="n">
        <f aca="false">N16+IF(13&gt;Premissas!$B$13,INDEX($B$15:$N$15,1,MAX(1,13-Premissas!$B$13)),0)</f>
        <v>99000</v>
      </c>
      <c r="O17" s="25" t="n">
        <f aca="false">SUM(B17:N17)</f>
        <v>1222000</v>
      </c>
    </row>
    <row r="18" customFormat="false" ht="15" hidden="false" customHeight="false" outlineLevel="0" collapsed="false">
      <c r="A18" s="26" t="s">
        <v>72</v>
      </c>
      <c r="B18" s="27"/>
      <c r="C18" s="27" t="n">
        <v>60000</v>
      </c>
      <c r="D18" s="27"/>
      <c r="E18" s="27" t="n">
        <v>105000</v>
      </c>
      <c r="F18" s="27" t="n">
        <v>150000</v>
      </c>
      <c r="G18" s="27" t="n">
        <v>165000</v>
      </c>
      <c r="H18" s="27"/>
      <c r="I18" s="27"/>
      <c r="J18" s="27" t="n">
        <v>150000</v>
      </c>
      <c r="K18" s="27"/>
      <c r="L18" s="27" t="n">
        <v>60000</v>
      </c>
      <c r="M18" s="27"/>
      <c r="N18" s="27" t="n">
        <v>150000</v>
      </c>
      <c r="O18" s="25" t="n">
        <f aca="false">SUM(B18:N18)</f>
        <v>840000</v>
      </c>
    </row>
    <row r="19" customFormat="false" ht="15" hidden="false" customHeight="false" outlineLevel="0" collapsed="false">
      <c r="A19" s="26" t="s">
        <v>73</v>
      </c>
      <c r="B19" s="27"/>
      <c r="C19" s="27" t="n">
        <v>85000</v>
      </c>
      <c r="D19" s="27"/>
      <c r="E19" s="27"/>
      <c r="F19" s="27"/>
      <c r="G19" s="27" t="n">
        <v>88000</v>
      </c>
      <c r="H19" s="27"/>
      <c r="I19" s="27"/>
      <c r="J19" s="27"/>
      <c r="K19" s="27"/>
      <c r="L19" s="27" t="n">
        <v>92000</v>
      </c>
      <c r="M19" s="27"/>
      <c r="N19" s="27"/>
      <c r="O19" s="25" t="n">
        <f aca="false">SUM(B19:N19)</f>
        <v>265000</v>
      </c>
    </row>
    <row r="20" customFormat="false" ht="15" hidden="false" customHeight="false" outlineLevel="0" collapsed="false">
      <c r="A20" s="26" t="s">
        <v>74</v>
      </c>
      <c r="B20" s="27" t="n">
        <v>28000</v>
      </c>
      <c r="C20" s="27"/>
      <c r="D20" s="27"/>
      <c r="E20" s="27"/>
      <c r="F20" s="27" t="n">
        <v>28000</v>
      </c>
      <c r="G20" s="27"/>
      <c r="H20" s="27"/>
      <c r="I20" s="27"/>
      <c r="J20" s="27" t="n">
        <v>28000</v>
      </c>
      <c r="K20" s="27"/>
      <c r="L20" s="27"/>
      <c r="M20" s="27"/>
      <c r="N20" s="27"/>
      <c r="O20" s="25" t="n">
        <f aca="false">SUM(B20:N20)</f>
        <v>84000</v>
      </c>
    </row>
    <row r="21" customFormat="false" ht="15" hidden="false" customHeight="false" outlineLevel="0" collapsed="false">
      <c r="A21" s="26" t="s">
        <v>75</v>
      </c>
      <c r="B21" s="27" t="n">
        <v>42000</v>
      </c>
      <c r="C21" s="27"/>
      <c r="D21" s="27"/>
      <c r="E21" s="27"/>
      <c r="F21" s="27"/>
      <c r="G21" s="27" t="n">
        <v>42000</v>
      </c>
      <c r="H21" s="27"/>
      <c r="I21" s="27"/>
      <c r="J21" s="27"/>
      <c r="K21" s="27" t="n">
        <v>42000</v>
      </c>
      <c r="L21" s="27"/>
      <c r="M21" s="27"/>
      <c r="N21" s="27"/>
      <c r="O21" s="25" t="n">
        <f aca="false">SUM(B21:N21)</f>
        <v>126000</v>
      </c>
    </row>
    <row r="22" customFormat="false" ht="15" hidden="false" customHeight="false" outlineLevel="0" collapsed="false">
      <c r="A22" s="26" t="s">
        <v>76</v>
      </c>
      <c r="B22" s="27"/>
      <c r="C22" s="27"/>
      <c r="D22" s="27"/>
      <c r="E22" s="27"/>
      <c r="F22" s="27"/>
      <c r="G22" s="27" t="n">
        <v>150000</v>
      </c>
      <c r="H22" s="27"/>
      <c r="I22" s="27"/>
      <c r="J22" s="27"/>
      <c r="K22" s="27"/>
      <c r="L22" s="27"/>
      <c r="M22" s="27"/>
      <c r="N22" s="27"/>
      <c r="O22" s="25" t="n">
        <f aca="false">SUM(B22:N22)</f>
        <v>150000</v>
      </c>
    </row>
    <row r="23" customFormat="false" ht="15" hidden="false" customHeight="false" outlineLevel="0" collapsed="false">
      <c r="A23" s="29" t="s">
        <v>77</v>
      </c>
      <c r="B23" s="8" t="n">
        <f aca="false">SUM(B17:B22)</f>
        <v>158000</v>
      </c>
      <c r="C23" s="8" t="n">
        <f aca="false">SUM(C17:C22)</f>
        <v>236000</v>
      </c>
      <c r="D23" s="8" t="n">
        <f aca="false">SUM(D17:D22)</f>
        <v>94000</v>
      </c>
      <c r="E23" s="8" t="n">
        <f aca="false">SUM(E17:E22)</f>
        <v>197000</v>
      </c>
      <c r="F23" s="8" t="n">
        <f aca="false">SUM(F17:F22)</f>
        <v>273000</v>
      </c>
      <c r="G23" s="8" t="n">
        <f aca="false">SUM(G17:G22)</f>
        <v>535000</v>
      </c>
      <c r="H23" s="8" t="n">
        <f aca="false">SUM(H17:H22)</f>
        <v>98000</v>
      </c>
      <c r="I23" s="8" t="n">
        <f aca="false">SUM(I17:I22)</f>
        <v>100000</v>
      </c>
      <c r="J23" s="8" t="n">
        <f aca="false">SUM(J17:J22)</f>
        <v>274000</v>
      </c>
      <c r="K23" s="8" t="n">
        <f aca="false">SUM(K17:K22)</f>
        <v>136000</v>
      </c>
      <c r="L23" s="8" t="n">
        <f aca="false">SUM(L17:L22)</f>
        <v>242000</v>
      </c>
      <c r="M23" s="8" t="n">
        <f aca="false">SUM(M17:M22)</f>
        <v>95000</v>
      </c>
      <c r="N23" s="8" t="n">
        <f aca="false">SUM(N17:N22)</f>
        <v>249000</v>
      </c>
      <c r="O23" s="8" t="n">
        <f aca="false">SUM(B23:N23)</f>
        <v>2687000</v>
      </c>
    </row>
    <row r="25" customFormat="false" ht="15" hidden="false" customHeight="false" outlineLevel="0" collapsed="false">
      <c r="A25" s="21" t="s">
        <v>78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customFormat="false" ht="15" hidden="false" customHeight="false" outlineLevel="0" collapsed="false">
      <c r="A26" s="26" t="s">
        <v>79</v>
      </c>
      <c r="B26" s="30" t="n">
        <f aca="false">Premissas!$B$6</f>
        <v>480000</v>
      </c>
      <c r="C26" s="30" t="n">
        <f aca="false">B28</f>
        <v>517000</v>
      </c>
      <c r="D26" s="30" t="n">
        <f aca="false">C28</f>
        <v>481000</v>
      </c>
      <c r="E26" s="30" t="n">
        <f aca="false">D28</f>
        <v>592000</v>
      </c>
      <c r="F26" s="30" t="n">
        <f aca="false">E28</f>
        <v>585000</v>
      </c>
      <c r="G26" s="30" t="n">
        <f aca="false">F28</f>
        <v>517000</v>
      </c>
      <c r="H26" s="30" t="n">
        <f aca="false">G28</f>
        <v>207000</v>
      </c>
      <c r="I26" s="30" t="n">
        <f aca="false">H28</f>
        <v>307000</v>
      </c>
      <c r="J26" s="30" t="n">
        <f aca="false">I28</f>
        <v>422000</v>
      </c>
      <c r="K26" s="30" t="n">
        <f aca="false">J28</f>
        <v>368000</v>
      </c>
      <c r="L26" s="30" t="n">
        <f aca="false">K28</f>
        <v>452000</v>
      </c>
      <c r="M26" s="30" t="n">
        <f aca="false">L28</f>
        <v>400000</v>
      </c>
      <c r="N26" s="30" t="n">
        <f aca="false">M28</f>
        <v>490000</v>
      </c>
      <c r="O26" s="25" t="n">
        <f aca="false">B26</f>
        <v>480000</v>
      </c>
    </row>
    <row r="27" customFormat="false" ht="15" hidden="false" customHeight="false" outlineLevel="0" collapsed="false">
      <c r="A27" s="26" t="s">
        <v>80</v>
      </c>
      <c r="B27" s="30" t="n">
        <f aca="false">B12-B23</f>
        <v>37000</v>
      </c>
      <c r="C27" s="30" t="n">
        <f aca="false">C12-C23</f>
        <v>-36000</v>
      </c>
      <c r="D27" s="30" t="n">
        <f aca="false">D12-D23</f>
        <v>111000</v>
      </c>
      <c r="E27" s="30" t="n">
        <f aca="false">E12-E23</f>
        <v>-7000</v>
      </c>
      <c r="F27" s="30" t="n">
        <f aca="false">F12-F23</f>
        <v>-68000</v>
      </c>
      <c r="G27" s="30" t="n">
        <f aca="false">G12-G23</f>
        <v>-310000</v>
      </c>
      <c r="H27" s="30" t="n">
        <f aca="false">H12-H23</f>
        <v>100000</v>
      </c>
      <c r="I27" s="30" t="n">
        <f aca="false">I12-I23</f>
        <v>115000</v>
      </c>
      <c r="J27" s="30" t="n">
        <f aca="false">J12-J23</f>
        <v>-54000</v>
      </c>
      <c r="K27" s="30" t="n">
        <f aca="false">K12-K23</f>
        <v>84000</v>
      </c>
      <c r="L27" s="30" t="n">
        <f aca="false">L12-L23</f>
        <v>-52000</v>
      </c>
      <c r="M27" s="30" t="n">
        <f aca="false">M12-M23</f>
        <v>90000</v>
      </c>
      <c r="N27" s="30" t="n">
        <f aca="false">N12-N23</f>
        <v>-44000</v>
      </c>
      <c r="O27" s="25" t="n">
        <f aca="false">SUM(B27:N27)</f>
        <v>-34000</v>
      </c>
    </row>
    <row r="28" customFormat="false" ht="15" hidden="false" customHeight="false" outlineLevel="0" collapsed="false">
      <c r="A28" s="29" t="s">
        <v>81</v>
      </c>
      <c r="B28" s="8" t="n">
        <f aca="false">B26+B27</f>
        <v>517000</v>
      </c>
      <c r="C28" s="8" t="n">
        <f aca="false">C26+C27</f>
        <v>481000</v>
      </c>
      <c r="D28" s="8" t="n">
        <f aca="false">D26+D27</f>
        <v>592000</v>
      </c>
      <c r="E28" s="8" t="n">
        <f aca="false">E26+E27</f>
        <v>585000</v>
      </c>
      <c r="F28" s="8" t="n">
        <f aca="false">F26+F27</f>
        <v>517000</v>
      </c>
      <c r="G28" s="8" t="n">
        <f aca="false">G26+G27</f>
        <v>207000</v>
      </c>
      <c r="H28" s="8" t="n">
        <f aca="false">H26+H27</f>
        <v>307000</v>
      </c>
      <c r="I28" s="8" t="n">
        <f aca="false">I26+I27</f>
        <v>422000</v>
      </c>
      <c r="J28" s="8" t="n">
        <f aca="false">J26+J27</f>
        <v>368000</v>
      </c>
      <c r="K28" s="8" t="n">
        <f aca="false">K26+K27</f>
        <v>452000</v>
      </c>
      <c r="L28" s="8" t="n">
        <f aca="false">L26+L27</f>
        <v>400000</v>
      </c>
      <c r="M28" s="8" t="n">
        <f aca="false">M26+M27</f>
        <v>490000</v>
      </c>
      <c r="N28" s="8" t="n">
        <f aca="false">N26+N27</f>
        <v>446000</v>
      </c>
      <c r="O28" s="8" t="n">
        <f aca="false">N28</f>
        <v>446000</v>
      </c>
    </row>
    <row r="29" customFormat="false" ht="15" hidden="false" customHeight="false" outlineLevel="0" collapsed="false">
      <c r="A29" s="26" t="s">
        <v>32</v>
      </c>
      <c r="B29" s="30" t="n">
        <f aca="false">Premissas!$B$7</f>
        <v>250000</v>
      </c>
      <c r="C29" s="30" t="n">
        <f aca="false">Premissas!$B$7</f>
        <v>250000</v>
      </c>
      <c r="D29" s="30" t="n">
        <f aca="false">Premissas!$B$7</f>
        <v>250000</v>
      </c>
      <c r="E29" s="30" t="n">
        <f aca="false">Premissas!$B$7</f>
        <v>250000</v>
      </c>
      <c r="F29" s="30" t="n">
        <f aca="false">Premissas!$B$7</f>
        <v>250000</v>
      </c>
      <c r="G29" s="30" t="n">
        <f aca="false">Premissas!$B$7</f>
        <v>250000</v>
      </c>
      <c r="H29" s="30" t="n">
        <f aca="false">Premissas!$B$7</f>
        <v>250000</v>
      </c>
      <c r="I29" s="30" t="n">
        <f aca="false">Premissas!$B$7</f>
        <v>250000</v>
      </c>
      <c r="J29" s="30" t="n">
        <f aca="false">Premissas!$B$7</f>
        <v>250000</v>
      </c>
      <c r="K29" s="30" t="n">
        <f aca="false">Premissas!$B$7</f>
        <v>250000</v>
      </c>
      <c r="L29" s="30" t="n">
        <f aca="false">Premissas!$B$7</f>
        <v>250000</v>
      </c>
      <c r="M29" s="30" t="n">
        <f aca="false">Premissas!$B$7</f>
        <v>250000</v>
      </c>
      <c r="N29" s="30" t="n">
        <f aca="false">Premissas!$B$7</f>
        <v>250000</v>
      </c>
      <c r="O29" s="25"/>
    </row>
    <row r="30" customFormat="false" ht="15" hidden="false" customHeight="false" outlineLevel="0" collapsed="false">
      <c r="A30" s="26" t="s">
        <v>82</v>
      </c>
      <c r="B30" s="30" t="n">
        <f aca="false">B28-B29</f>
        <v>267000</v>
      </c>
      <c r="C30" s="30" t="n">
        <f aca="false">C28-C29</f>
        <v>231000</v>
      </c>
      <c r="D30" s="30" t="n">
        <f aca="false">D28-D29</f>
        <v>342000</v>
      </c>
      <c r="E30" s="30" t="n">
        <f aca="false">E28-E29</f>
        <v>335000</v>
      </c>
      <c r="F30" s="30" t="n">
        <f aca="false">F28-F29</f>
        <v>267000</v>
      </c>
      <c r="G30" s="30" t="n">
        <f aca="false">G28-G29</f>
        <v>-43000</v>
      </c>
      <c r="H30" s="30" t="n">
        <f aca="false">H28-H29</f>
        <v>57000</v>
      </c>
      <c r="I30" s="30" t="n">
        <f aca="false">I28-I29</f>
        <v>172000</v>
      </c>
      <c r="J30" s="30" t="n">
        <f aca="false">J28-J29</f>
        <v>118000</v>
      </c>
      <c r="K30" s="30" t="n">
        <f aca="false">K28-K29</f>
        <v>202000</v>
      </c>
      <c r="L30" s="30" t="n">
        <f aca="false">L28-L29</f>
        <v>150000</v>
      </c>
      <c r="M30" s="30" t="n">
        <f aca="false">M28-M29</f>
        <v>240000</v>
      </c>
      <c r="N30" s="30" t="n">
        <f aca="false">N28-N29</f>
        <v>196000</v>
      </c>
      <c r="O30" s="25"/>
    </row>
    <row r="31" customFormat="false" ht="15" hidden="false" customHeight="false" outlineLevel="0" collapsed="false">
      <c r="A31" s="0" t="s">
        <v>83</v>
      </c>
      <c r="B31" s="31" t="str">
        <f aca="false">IF(B28&lt;B29,"Abaixo do mínimo","OK")</f>
        <v>OK</v>
      </c>
      <c r="C31" s="31" t="str">
        <f aca="false">IF(C28&lt;C29,"Abaixo do mínimo","OK")</f>
        <v>OK</v>
      </c>
      <c r="D31" s="31" t="str">
        <f aca="false">IF(D28&lt;D29,"Abaixo do mínimo","OK")</f>
        <v>OK</v>
      </c>
      <c r="E31" s="31" t="str">
        <f aca="false">IF(E28&lt;E29,"Abaixo do mínimo","OK")</f>
        <v>OK</v>
      </c>
      <c r="F31" s="31" t="str">
        <f aca="false">IF(F28&lt;F29,"Abaixo do mínimo","OK")</f>
        <v>OK</v>
      </c>
      <c r="G31" s="31" t="str">
        <f aca="false">IF(G28&lt;G29,"Abaixo do mínimo","OK")</f>
        <v>Abaixo do mínimo</v>
      </c>
      <c r="H31" s="31" t="str">
        <f aca="false">IF(H28&lt;H29,"Abaixo do mínimo","OK")</f>
        <v>OK</v>
      </c>
      <c r="I31" s="31" t="str">
        <f aca="false">IF(I28&lt;I29,"Abaixo do mínimo","OK")</f>
        <v>OK</v>
      </c>
      <c r="J31" s="31" t="str">
        <f aca="false">IF(J28&lt;J29,"Abaixo do mínimo","OK")</f>
        <v>OK</v>
      </c>
      <c r="K31" s="31" t="str">
        <f aca="false">IF(K28&lt;K29,"Abaixo do mínimo","OK")</f>
        <v>OK</v>
      </c>
      <c r="L31" s="31" t="str">
        <f aca="false">IF(L28&lt;L29,"Abaixo do mínimo","OK")</f>
        <v>OK</v>
      </c>
      <c r="M31" s="31" t="str">
        <f aca="false">IF(M28&lt;M29,"Abaixo do mínimo","OK")</f>
        <v>OK</v>
      </c>
      <c r="N31" s="31" t="str">
        <f aca="false">IF(N28&lt;N29,"Abaixo do mínimo","OK")</f>
        <v>OK</v>
      </c>
    </row>
    <row r="33" customFormat="false" ht="15" hidden="false" customHeight="false" outlineLevel="0" collapsed="false">
      <c r="A33" s="2" t="s">
        <v>84</v>
      </c>
    </row>
    <row r="35" customFormat="false" ht="15" hidden="false" customHeight="false" outlineLevel="0" collapsed="false">
      <c r="A35" s="11" t="s">
        <v>22</v>
      </c>
    </row>
  </sheetData>
  <conditionalFormatting sqref="B28:N28">
    <cfRule type="expression" priority="2" aboveAverage="0" equalAverage="0" bottom="0" percent="0" rank="0" text="" dxfId="0">
      <formula>B$28&lt;B$29</formula>
    </cfRule>
  </conditionalFormatting>
  <conditionalFormatting sqref="B30:N30">
    <cfRule type="expression" priority="3" aboveAverage="0" equalAverage="0" bottom="0" percent="0" rank="0" text="" dxfId="1">
      <formula>B$30&lt;0</formula>
    </cfRule>
  </conditionalFormatting>
  <conditionalFormatting sqref="B31:N31">
    <cfRule type="expression" priority="4" aboveAverage="0" equalAverage="0" bottom="0" percent="0" rank="0" text="" dxfId="0">
      <formula>B$28&lt;B$29</formula>
    </cfRule>
    <cfRule type="expression" priority="5" aboveAverage="0" equalAverage="0" bottom="0" percent="0" rank="0" text="" dxfId="2">
      <formula>B$28&gt;=B$29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13" min="2" style="0" width="12.5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10" t="str">
        <f aca="false">Premissas!$B$4</f>
        <v>Empresa Exemplo Ltda.</v>
      </c>
    </row>
    <row r="5" customFormat="false" ht="25.5" hidden="false" customHeight="true" outlineLevel="0" collapsed="false">
      <c r="A5" s="18" t="s">
        <v>86</v>
      </c>
      <c r="B5" s="19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19" t="s">
        <v>92</v>
      </c>
      <c r="H5" s="19" t="s">
        <v>93</v>
      </c>
      <c r="I5" s="19" t="s">
        <v>94</v>
      </c>
      <c r="J5" s="19" t="s">
        <v>95</v>
      </c>
      <c r="K5" s="19" t="s">
        <v>96</v>
      </c>
      <c r="L5" s="19" t="s">
        <v>97</v>
      </c>
      <c r="M5" s="19" t="s">
        <v>98</v>
      </c>
      <c r="N5" s="19" t="s">
        <v>60</v>
      </c>
    </row>
    <row r="6" customFormat="false" ht="15" hidden="false" customHeight="false" outlineLevel="0" collapsed="false">
      <c r="A6" s="11" t="s">
        <v>86</v>
      </c>
      <c r="B6" s="32" t="n">
        <f aca="false">DATE(YEAR(Premissas!$B$5),MONTH(Premissas!$B$5)+0,1)</f>
        <v>46327</v>
      </c>
      <c r="C6" s="32" t="n">
        <f aca="false">DATE(YEAR(Premissas!$B$5),MONTH(Premissas!$B$5)+1,1)</f>
        <v>46357</v>
      </c>
      <c r="D6" s="32" t="n">
        <f aca="false">DATE(YEAR(Premissas!$B$5),MONTH(Premissas!$B$5)+2,1)</f>
        <v>46388</v>
      </c>
      <c r="E6" s="32" t="n">
        <f aca="false">DATE(YEAR(Premissas!$B$5),MONTH(Premissas!$B$5)+3,1)</f>
        <v>46419</v>
      </c>
      <c r="F6" s="32" t="n">
        <f aca="false">DATE(YEAR(Premissas!$B$5),MONTH(Premissas!$B$5)+4,1)</f>
        <v>46447</v>
      </c>
      <c r="G6" s="32" t="n">
        <f aca="false">DATE(YEAR(Premissas!$B$5),MONTH(Premissas!$B$5)+5,1)</f>
        <v>46478</v>
      </c>
      <c r="H6" s="32" t="n">
        <f aca="false">DATE(YEAR(Premissas!$B$5),MONTH(Premissas!$B$5)+6,1)</f>
        <v>46508</v>
      </c>
      <c r="I6" s="32" t="n">
        <f aca="false">DATE(YEAR(Premissas!$B$5),MONTH(Premissas!$B$5)+7,1)</f>
        <v>46539</v>
      </c>
      <c r="J6" s="32" t="n">
        <f aca="false">DATE(YEAR(Premissas!$B$5),MONTH(Premissas!$B$5)+8,1)</f>
        <v>46569</v>
      </c>
      <c r="K6" s="32" t="n">
        <f aca="false">DATE(YEAR(Premissas!$B$5),MONTH(Premissas!$B$5)+9,1)</f>
        <v>46600</v>
      </c>
      <c r="L6" s="32" t="n">
        <f aca="false">DATE(YEAR(Premissas!$B$5),MONTH(Premissas!$B$5)+10,1)</f>
        <v>46631</v>
      </c>
      <c r="M6" s="32" t="n">
        <f aca="false">DATE(YEAR(Premissas!$B$5),MONTH(Premissas!$B$5)+11,1)</f>
        <v>46661</v>
      </c>
    </row>
    <row r="7" customFormat="false" ht="15" hidden="false" customHeight="false" outlineLevel="0" collapsed="false">
      <c r="A7" s="21" t="s">
        <v>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customFormat="false" ht="15" hidden="false" customHeight="false" outlineLevel="0" collapsed="false">
      <c r="A8" s="23" t="s">
        <v>63</v>
      </c>
      <c r="B8" s="24" t="n">
        <v>890000</v>
      </c>
      <c r="C8" s="24" t="n">
        <v>930000</v>
      </c>
      <c r="D8" s="24" t="n">
        <v>720000</v>
      </c>
      <c r="E8" s="24" t="n">
        <v>760000</v>
      </c>
      <c r="F8" s="24" t="n">
        <v>880000</v>
      </c>
      <c r="G8" s="24" t="n">
        <v>920000</v>
      </c>
      <c r="H8" s="24" t="n">
        <v>940000</v>
      </c>
      <c r="I8" s="24" t="n">
        <v>950000</v>
      </c>
      <c r="J8" s="24" t="n">
        <v>960000</v>
      </c>
      <c r="K8" s="24" t="n">
        <v>980000</v>
      </c>
      <c r="L8" s="24" t="n">
        <v>990000</v>
      </c>
      <c r="M8" s="24" t="n">
        <v>1040000</v>
      </c>
      <c r="N8" s="25" t="n">
        <f aca="false">SUM(B8:M8)</f>
        <v>10960000</v>
      </c>
    </row>
    <row r="9" customFormat="false" ht="15" hidden="false" customHeight="false" outlineLevel="0" collapsed="false">
      <c r="A9" s="26" t="s">
        <v>64</v>
      </c>
      <c r="B9" s="27" t="n">
        <v>870000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5" t="n">
        <f aca="false">SUM(B9:M9)</f>
        <v>870000</v>
      </c>
    </row>
    <row r="10" customFormat="false" ht="15" hidden="false" customHeight="false" outlineLevel="0" collapsed="false">
      <c r="A10" s="28" t="s">
        <v>65</v>
      </c>
      <c r="B10" s="25" t="n">
        <f aca="false">B9+IF(1&gt;Premissas!$B$14,INDEX($B$8:$M$8,1,MAX(1,1-Premissas!$B$14)),0)</f>
        <v>870000</v>
      </c>
      <c r="C10" s="25" t="n">
        <f aca="false">C9+IF(2&gt;Premissas!$B$14,INDEX($B$8:$M$8,1,MAX(1,2-Premissas!$B$14)),0)</f>
        <v>890000</v>
      </c>
      <c r="D10" s="25" t="n">
        <f aca="false">D9+IF(3&gt;Premissas!$B$14,INDEX($B$8:$M$8,1,MAX(1,3-Premissas!$B$14)),0)</f>
        <v>930000</v>
      </c>
      <c r="E10" s="25" t="n">
        <f aca="false">E9+IF(4&gt;Premissas!$B$14,INDEX($B$8:$M$8,1,MAX(1,4-Premissas!$B$14)),0)</f>
        <v>720000</v>
      </c>
      <c r="F10" s="25" t="n">
        <f aca="false">F9+IF(5&gt;Premissas!$B$14,INDEX($B$8:$M$8,1,MAX(1,5-Premissas!$B$14)),0)</f>
        <v>760000</v>
      </c>
      <c r="G10" s="25" t="n">
        <f aca="false">G9+IF(6&gt;Premissas!$B$14,INDEX($B$8:$M$8,1,MAX(1,6-Premissas!$B$14)),0)</f>
        <v>880000</v>
      </c>
      <c r="H10" s="25" t="n">
        <f aca="false">H9+IF(7&gt;Premissas!$B$14,INDEX($B$8:$M$8,1,MAX(1,7-Premissas!$B$14)),0)</f>
        <v>920000</v>
      </c>
      <c r="I10" s="25" t="n">
        <f aca="false">I9+IF(8&gt;Premissas!$B$14,INDEX($B$8:$M$8,1,MAX(1,8-Premissas!$B$14)),0)</f>
        <v>940000</v>
      </c>
      <c r="J10" s="25" t="n">
        <f aca="false">J9+IF(9&gt;Premissas!$B$14,INDEX($B$8:$M$8,1,MAX(1,9-Premissas!$B$14)),0)</f>
        <v>950000</v>
      </c>
      <c r="K10" s="25" t="n">
        <f aca="false">K9+IF(10&gt;Premissas!$B$14,INDEX($B$8:$M$8,1,MAX(1,10-Premissas!$B$14)),0)</f>
        <v>960000</v>
      </c>
      <c r="L10" s="25" t="n">
        <f aca="false">L9+IF(11&gt;Premissas!$B$14,INDEX($B$8:$M$8,1,MAX(1,11-Premissas!$B$14)),0)</f>
        <v>980000</v>
      </c>
      <c r="M10" s="25" t="n">
        <f aca="false">M9+IF(12&gt;Premissas!$B$14,INDEX($B$8:$M$8,1,MAX(1,12-Premissas!$B$14)),0)</f>
        <v>990000</v>
      </c>
      <c r="N10" s="25" t="n">
        <f aca="false">SUM(B10:M10)</f>
        <v>10790000</v>
      </c>
    </row>
    <row r="11" customFormat="false" ht="15" hidden="false" customHeight="false" outlineLevel="0" collapsed="false">
      <c r="A11" s="26" t="s">
        <v>66</v>
      </c>
      <c r="B11" s="27"/>
      <c r="C11" s="27" t="n">
        <v>15000</v>
      </c>
      <c r="D11" s="27" t="n">
        <v>8000</v>
      </c>
      <c r="E11" s="27"/>
      <c r="F11" s="27"/>
      <c r="G11" s="27"/>
      <c r="H11" s="27" t="n">
        <v>10000</v>
      </c>
      <c r="I11" s="27"/>
      <c r="J11" s="27"/>
      <c r="K11" s="27"/>
      <c r="L11" s="27"/>
      <c r="M11" s="27"/>
      <c r="N11" s="25" t="n">
        <f aca="false">SUM(B11:M11)</f>
        <v>33000</v>
      </c>
    </row>
    <row r="12" customFormat="false" ht="15" hidden="false" customHeight="false" outlineLevel="0" collapsed="false">
      <c r="A12" s="29" t="s">
        <v>67</v>
      </c>
      <c r="B12" s="8" t="n">
        <f aca="false">B10+B11</f>
        <v>870000</v>
      </c>
      <c r="C12" s="8" t="n">
        <f aca="false">C10+C11</f>
        <v>905000</v>
      </c>
      <c r="D12" s="8" t="n">
        <f aca="false">D10+D11</f>
        <v>938000</v>
      </c>
      <c r="E12" s="8" t="n">
        <f aca="false">E10+E11</f>
        <v>720000</v>
      </c>
      <c r="F12" s="8" t="n">
        <f aca="false">F10+F11</f>
        <v>760000</v>
      </c>
      <c r="G12" s="8" t="n">
        <f aca="false">G10+G11</f>
        <v>880000</v>
      </c>
      <c r="H12" s="8" t="n">
        <f aca="false">H10+H11</f>
        <v>930000</v>
      </c>
      <c r="I12" s="8" t="n">
        <f aca="false">I10+I11</f>
        <v>940000</v>
      </c>
      <c r="J12" s="8" t="n">
        <f aca="false">J10+J11</f>
        <v>950000</v>
      </c>
      <c r="K12" s="8" t="n">
        <f aca="false">K10+K11</f>
        <v>960000</v>
      </c>
      <c r="L12" s="8" t="n">
        <f aca="false">L10+L11</f>
        <v>980000</v>
      </c>
      <c r="M12" s="8" t="n">
        <f aca="false">M10+M11</f>
        <v>990000</v>
      </c>
      <c r="N12" s="8" t="n">
        <f aca="false">SUM(B12:M12)</f>
        <v>10823000</v>
      </c>
    </row>
    <row r="14" customFormat="false" ht="15" hidden="false" customHeight="false" outlineLevel="0" collapsed="false">
      <c r="A14" s="21" t="s">
        <v>68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customFormat="false" ht="15" hidden="false" customHeight="false" outlineLevel="0" collapsed="false">
      <c r="A15" s="23" t="s">
        <v>69</v>
      </c>
      <c r="B15" s="24" t="n">
        <v>440000</v>
      </c>
      <c r="C15" s="24" t="n">
        <v>460000</v>
      </c>
      <c r="D15" s="24" t="n">
        <v>350000</v>
      </c>
      <c r="E15" s="24" t="n">
        <v>380000</v>
      </c>
      <c r="F15" s="24" t="n">
        <v>430000</v>
      </c>
      <c r="G15" s="24" t="n">
        <v>450000</v>
      </c>
      <c r="H15" s="24" t="n">
        <v>455000</v>
      </c>
      <c r="I15" s="24" t="n">
        <v>460000</v>
      </c>
      <c r="J15" s="24" t="n">
        <v>465000</v>
      </c>
      <c r="K15" s="24" t="n">
        <v>475000</v>
      </c>
      <c r="L15" s="24" t="n">
        <v>480000</v>
      </c>
      <c r="M15" s="24" t="n">
        <v>505000</v>
      </c>
      <c r="N15" s="25" t="n">
        <f aca="false">SUM(B15:M15)</f>
        <v>5350000</v>
      </c>
    </row>
    <row r="16" customFormat="false" ht="15" hidden="false" customHeight="false" outlineLevel="0" collapsed="false">
      <c r="A16" s="26" t="s">
        <v>70</v>
      </c>
      <c r="B16" s="27" t="n">
        <v>425000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5" t="n">
        <f aca="false">SUM(B16:M16)</f>
        <v>425000</v>
      </c>
    </row>
    <row r="17" customFormat="false" ht="15" hidden="false" customHeight="false" outlineLevel="0" collapsed="false">
      <c r="A17" s="28" t="s">
        <v>71</v>
      </c>
      <c r="B17" s="25" t="n">
        <f aca="false">B16+IF(1&gt;Premissas!$B$15,INDEX($B$15:$M$15,1,MAX(1,1-Premissas!$B$15)),0)</f>
        <v>425000</v>
      </c>
      <c r="C17" s="25" t="n">
        <f aca="false">C16+IF(2&gt;Premissas!$B$15,INDEX($B$15:$M$15,1,MAX(1,2-Premissas!$B$15)),0)</f>
        <v>440000</v>
      </c>
      <c r="D17" s="25" t="n">
        <f aca="false">D16+IF(3&gt;Premissas!$B$15,INDEX($B$15:$M$15,1,MAX(1,3-Premissas!$B$15)),0)</f>
        <v>460000</v>
      </c>
      <c r="E17" s="25" t="n">
        <f aca="false">E16+IF(4&gt;Premissas!$B$15,INDEX($B$15:$M$15,1,MAX(1,4-Premissas!$B$15)),0)</f>
        <v>350000</v>
      </c>
      <c r="F17" s="25" t="n">
        <f aca="false">F16+IF(5&gt;Premissas!$B$15,INDEX($B$15:$M$15,1,MAX(1,5-Premissas!$B$15)),0)</f>
        <v>380000</v>
      </c>
      <c r="G17" s="25" t="n">
        <f aca="false">G16+IF(6&gt;Premissas!$B$15,INDEX($B$15:$M$15,1,MAX(1,6-Premissas!$B$15)),0)</f>
        <v>430000</v>
      </c>
      <c r="H17" s="25" t="n">
        <f aca="false">H16+IF(7&gt;Premissas!$B$15,INDEX($B$15:$M$15,1,MAX(1,7-Premissas!$B$15)),0)</f>
        <v>450000</v>
      </c>
      <c r="I17" s="25" t="n">
        <f aca="false">I16+IF(8&gt;Premissas!$B$15,INDEX($B$15:$M$15,1,MAX(1,8-Premissas!$B$15)),0)</f>
        <v>455000</v>
      </c>
      <c r="J17" s="25" t="n">
        <f aca="false">J16+IF(9&gt;Premissas!$B$15,INDEX($B$15:$M$15,1,MAX(1,9-Premissas!$B$15)),0)</f>
        <v>460000</v>
      </c>
      <c r="K17" s="25" t="n">
        <f aca="false">K16+IF(10&gt;Premissas!$B$15,INDEX($B$15:$M$15,1,MAX(1,10-Premissas!$B$15)),0)</f>
        <v>465000</v>
      </c>
      <c r="L17" s="25" t="n">
        <f aca="false">L16+IF(11&gt;Premissas!$B$15,INDEX($B$15:$M$15,1,MAX(1,11-Premissas!$B$15)),0)</f>
        <v>475000</v>
      </c>
      <c r="M17" s="25" t="n">
        <f aca="false">M16+IF(12&gt;Premissas!$B$15,INDEX($B$15:$M$15,1,MAX(1,12-Premissas!$B$15)),0)</f>
        <v>480000</v>
      </c>
      <c r="N17" s="25" t="n">
        <f aca="false">SUM(B17:M17)</f>
        <v>5270000</v>
      </c>
    </row>
    <row r="18" customFormat="false" ht="15" hidden="false" customHeight="false" outlineLevel="0" collapsed="false">
      <c r="A18" s="26" t="s">
        <v>72</v>
      </c>
      <c r="B18" s="27" t="n">
        <v>195000</v>
      </c>
      <c r="C18" s="27" t="n">
        <v>375000</v>
      </c>
      <c r="D18" s="27" t="n">
        <v>250000</v>
      </c>
      <c r="E18" s="27" t="n">
        <v>250000</v>
      </c>
      <c r="F18" s="27" t="n">
        <v>250000</v>
      </c>
      <c r="G18" s="27" t="n">
        <v>250000</v>
      </c>
      <c r="H18" s="27" t="n">
        <v>250000</v>
      </c>
      <c r="I18" s="27" t="n">
        <v>250000</v>
      </c>
      <c r="J18" s="27" t="n">
        <v>250000</v>
      </c>
      <c r="K18" s="27" t="n">
        <v>250000</v>
      </c>
      <c r="L18" s="27" t="n">
        <v>250000</v>
      </c>
      <c r="M18" s="27" t="n">
        <v>250000</v>
      </c>
      <c r="N18" s="25" t="n">
        <f aca="false">SUM(B18:M18)</f>
        <v>3070000</v>
      </c>
    </row>
    <row r="19" customFormat="false" ht="15" hidden="false" customHeight="false" outlineLevel="0" collapsed="false">
      <c r="A19" s="26" t="s">
        <v>73</v>
      </c>
      <c r="B19" s="27" t="n">
        <v>85000</v>
      </c>
      <c r="C19" s="27" t="n">
        <v>88000</v>
      </c>
      <c r="D19" s="27" t="n">
        <v>92000</v>
      </c>
      <c r="E19" s="27" t="n">
        <v>74000</v>
      </c>
      <c r="F19" s="27" t="n">
        <v>76000</v>
      </c>
      <c r="G19" s="27" t="n">
        <v>84000</v>
      </c>
      <c r="H19" s="27" t="n">
        <v>88000</v>
      </c>
      <c r="I19" s="27" t="n">
        <v>90000</v>
      </c>
      <c r="J19" s="27" t="n">
        <v>91000</v>
      </c>
      <c r="K19" s="27" t="n">
        <v>93000</v>
      </c>
      <c r="L19" s="27" t="n">
        <v>95000</v>
      </c>
      <c r="M19" s="27" t="n">
        <v>96000</v>
      </c>
      <c r="N19" s="25" t="n">
        <f aca="false">SUM(B19:M19)</f>
        <v>1052000</v>
      </c>
    </row>
    <row r="20" customFormat="false" ht="15" hidden="false" customHeight="false" outlineLevel="0" collapsed="false">
      <c r="A20" s="26" t="s">
        <v>74</v>
      </c>
      <c r="B20" s="27" t="n">
        <v>28000</v>
      </c>
      <c r="C20" s="27" t="n">
        <v>28000</v>
      </c>
      <c r="D20" s="27" t="n">
        <v>28000</v>
      </c>
      <c r="E20" s="27" t="n">
        <v>28000</v>
      </c>
      <c r="F20" s="27" t="n">
        <v>28000</v>
      </c>
      <c r="G20" s="27" t="n">
        <v>28000</v>
      </c>
      <c r="H20" s="27" t="n">
        <v>28000</v>
      </c>
      <c r="I20" s="27" t="n">
        <v>28000</v>
      </c>
      <c r="J20" s="27" t="n">
        <v>28000</v>
      </c>
      <c r="K20" s="27" t="n">
        <v>30000</v>
      </c>
      <c r="L20" s="27" t="n">
        <v>30000</v>
      </c>
      <c r="M20" s="27" t="n">
        <v>30000</v>
      </c>
      <c r="N20" s="25" t="n">
        <f aca="false">SUM(B20:M20)</f>
        <v>342000</v>
      </c>
    </row>
    <row r="21" customFormat="false" ht="15" hidden="false" customHeight="false" outlineLevel="0" collapsed="false">
      <c r="A21" s="26" t="s">
        <v>75</v>
      </c>
      <c r="B21" s="27" t="n">
        <v>42000</v>
      </c>
      <c r="C21" s="27" t="n">
        <v>42000</v>
      </c>
      <c r="D21" s="27" t="n">
        <v>42000</v>
      </c>
      <c r="E21" s="27" t="n">
        <v>42000</v>
      </c>
      <c r="F21" s="27" t="n">
        <v>42000</v>
      </c>
      <c r="G21" s="27" t="n">
        <v>42000</v>
      </c>
      <c r="H21" s="27" t="n">
        <v>42000</v>
      </c>
      <c r="I21" s="27" t="n">
        <v>42000</v>
      </c>
      <c r="J21" s="27" t="n">
        <v>42000</v>
      </c>
      <c r="K21" s="27" t="n">
        <v>42000</v>
      </c>
      <c r="L21" s="27" t="n">
        <v>42000</v>
      </c>
      <c r="M21" s="27" t="n">
        <v>42000</v>
      </c>
      <c r="N21" s="25" t="n">
        <f aca="false">SUM(B21:M21)</f>
        <v>504000</v>
      </c>
    </row>
    <row r="22" customFormat="false" ht="15" hidden="false" customHeight="false" outlineLevel="0" collapsed="false">
      <c r="A22" s="26" t="s">
        <v>76</v>
      </c>
      <c r="B22" s="27"/>
      <c r="C22" s="27" t="n">
        <v>150000</v>
      </c>
      <c r="D22" s="27"/>
      <c r="E22" s="27" t="n">
        <v>160000</v>
      </c>
      <c r="F22" s="27"/>
      <c r="G22" s="27"/>
      <c r="H22" s="27"/>
      <c r="I22" s="27"/>
      <c r="J22" s="27"/>
      <c r="K22" s="27"/>
      <c r="L22" s="27"/>
      <c r="M22" s="27"/>
      <c r="N22" s="25" t="n">
        <f aca="false">SUM(B22:M22)</f>
        <v>310000</v>
      </c>
    </row>
    <row r="23" customFormat="false" ht="15" hidden="false" customHeight="false" outlineLevel="0" collapsed="false">
      <c r="A23" s="29" t="s">
        <v>77</v>
      </c>
      <c r="B23" s="8" t="n">
        <f aca="false">SUM(B17:B22)</f>
        <v>775000</v>
      </c>
      <c r="C23" s="8" t="n">
        <f aca="false">SUM(C17:C22)</f>
        <v>1123000</v>
      </c>
      <c r="D23" s="8" t="n">
        <f aca="false">SUM(D17:D22)</f>
        <v>872000</v>
      </c>
      <c r="E23" s="8" t="n">
        <f aca="false">SUM(E17:E22)</f>
        <v>904000</v>
      </c>
      <c r="F23" s="8" t="n">
        <f aca="false">SUM(F17:F22)</f>
        <v>776000</v>
      </c>
      <c r="G23" s="8" t="n">
        <f aca="false">SUM(G17:G22)</f>
        <v>834000</v>
      </c>
      <c r="H23" s="8" t="n">
        <f aca="false">SUM(H17:H22)</f>
        <v>858000</v>
      </c>
      <c r="I23" s="8" t="n">
        <f aca="false">SUM(I17:I22)</f>
        <v>865000</v>
      </c>
      <c r="J23" s="8" t="n">
        <f aca="false">SUM(J17:J22)</f>
        <v>871000</v>
      </c>
      <c r="K23" s="8" t="n">
        <f aca="false">SUM(K17:K22)</f>
        <v>880000</v>
      </c>
      <c r="L23" s="8" t="n">
        <f aca="false">SUM(L17:L22)</f>
        <v>892000</v>
      </c>
      <c r="M23" s="8" t="n">
        <f aca="false">SUM(M17:M22)</f>
        <v>898000</v>
      </c>
      <c r="N23" s="8" t="n">
        <f aca="false">SUM(B23:M23)</f>
        <v>10548000</v>
      </c>
    </row>
    <row r="25" customFormat="false" ht="15" hidden="false" customHeight="false" outlineLevel="0" collapsed="false">
      <c r="A25" s="21" t="s">
        <v>78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customFormat="false" ht="15" hidden="false" customHeight="false" outlineLevel="0" collapsed="false">
      <c r="A26" s="26" t="s">
        <v>79</v>
      </c>
      <c r="B26" s="30" t="n">
        <f aca="false">Premissas!$B$6</f>
        <v>480000</v>
      </c>
      <c r="C26" s="30" t="n">
        <f aca="false">B28</f>
        <v>575000</v>
      </c>
      <c r="D26" s="30" t="n">
        <f aca="false">C28</f>
        <v>357000</v>
      </c>
      <c r="E26" s="30" t="n">
        <f aca="false">D28</f>
        <v>423000</v>
      </c>
      <c r="F26" s="30" t="n">
        <f aca="false">E28</f>
        <v>239000</v>
      </c>
      <c r="G26" s="30" t="n">
        <f aca="false">F28</f>
        <v>223000</v>
      </c>
      <c r="H26" s="30" t="n">
        <f aca="false">G28</f>
        <v>269000</v>
      </c>
      <c r="I26" s="30" t="n">
        <f aca="false">H28</f>
        <v>341000</v>
      </c>
      <c r="J26" s="30" t="n">
        <f aca="false">I28</f>
        <v>416000</v>
      </c>
      <c r="K26" s="30" t="n">
        <f aca="false">J28</f>
        <v>495000</v>
      </c>
      <c r="L26" s="30" t="n">
        <f aca="false">K28</f>
        <v>575000</v>
      </c>
      <c r="M26" s="30" t="n">
        <f aca="false">L28</f>
        <v>663000</v>
      </c>
      <c r="N26" s="25" t="n">
        <f aca="false">B26</f>
        <v>480000</v>
      </c>
    </row>
    <row r="27" customFormat="false" ht="15" hidden="false" customHeight="false" outlineLevel="0" collapsed="false">
      <c r="A27" s="26" t="s">
        <v>80</v>
      </c>
      <c r="B27" s="30" t="n">
        <f aca="false">B12-B23</f>
        <v>95000</v>
      </c>
      <c r="C27" s="30" t="n">
        <f aca="false">C12-C23</f>
        <v>-218000</v>
      </c>
      <c r="D27" s="30" t="n">
        <f aca="false">D12-D23</f>
        <v>66000</v>
      </c>
      <c r="E27" s="30" t="n">
        <f aca="false">E12-E23</f>
        <v>-184000</v>
      </c>
      <c r="F27" s="30" t="n">
        <f aca="false">F12-F23</f>
        <v>-16000</v>
      </c>
      <c r="G27" s="30" t="n">
        <f aca="false">G12-G23</f>
        <v>46000</v>
      </c>
      <c r="H27" s="30" t="n">
        <f aca="false">H12-H23</f>
        <v>72000</v>
      </c>
      <c r="I27" s="30" t="n">
        <f aca="false">I12-I23</f>
        <v>75000</v>
      </c>
      <c r="J27" s="30" t="n">
        <f aca="false">J12-J23</f>
        <v>79000</v>
      </c>
      <c r="K27" s="30" t="n">
        <f aca="false">K12-K23</f>
        <v>80000</v>
      </c>
      <c r="L27" s="30" t="n">
        <f aca="false">L12-L23</f>
        <v>88000</v>
      </c>
      <c r="M27" s="30" t="n">
        <f aca="false">M12-M23</f>
        <v>92000</v>
      </c>
      <c r="N27" s="25" t="n">
        <f aca="false">SUM(B27:M27)</f>
        <v>275000</v>
      </c>
    </row>
    <row r="28" customFormat="false" ht="15" hidden="false" customHeight="false" outlineLevel="0" collapsed="false">
      <c r="A28" s="29" t="s">
        <v>81</v>
      </c>
      <c r="B28" s="8" t="n">
        <f aca="false">B26+B27</f>
        <v>575000</v>
      </c>
      <c r="C28" s="8" t="n">
        <f aca="false">C26+C27</f>
        <v>357000</v>
      </c>
      <c r="D28" s="8" t="n">
        <f aca="false">D26+D27</f>
        <v>423000</v>
      </c>
      <c r="E28" s="8" t="n">
        <f aca="false">E26+E27</f>
        <v>239000</v>
      </c>
      <c r="F28" s="8" t="n">
        <f aca="false">F26+F27</f>
        <v>223000</v>
      </c>
      <c r="G28" s="8" t="n">
        <f aca="false">G26+G27</f>
        <v>269000</v>
      </c>
      <c r="H28" s="8" t="n">
        <f aca="false">H26+H27</f>
        <v>341000</v>
      </c>
      <c r="I28" s="8" t="n">
        <f aca="false">I26+I27</f>
        <v>416000</v>
      </c>
      <c r="J28" s="8" t="n">
        <f aca="false">J26+J27</f>
        <v>495000</v>
      </c>
      <c r="K28" s="8" t="n">
        <f aca="false">K26+K27</f>
        <v>575000</v>
      </c>
      <c r="L28" s="8" t="n">
        <f aca="false">L26+L27</f>
        <v>663000</v>
      </c>
      <c r="M28" s="8" t="n">
        <f aca="false">M26+M27</f>
        <v>755000</v>
      </c>
      <c r="N28" s="8" t="n">
        <f aca="false">M28</f>
        <v>755000</v>
      </c>
    </row>
    <row r="29" customFormat="false" ht="15" hidden="false" customHeight="false" outlineLevel="0" collapsed="false">
      <c r="A29" s="26" t="s">
        <v>32</v>
      </c>
      <c r="B29" s="30" t="n">
        <f aca="false">Premissas!$B$7</f>
        <v>250000</v>
      </c>
      <c r="C29" s="30" t="n">
        <f aca="false">Premissas!$B$7</f>
        <v>250000</v>
      </c>
      <c r="D29" s="30" t="n">
        <f aca="false">Premissas!$B$7</f>
        <v>250000</v>
      </c>
      <c r="E29" s="30" t="n">
        <f aca="false">Premissas!$B$7</f>
        <v>250000</v>
      </c>
      <c r="F29" s="30" t="n">
        <f aca="false">Premissas!$B$7</f>
        <v>250000</v>
      </c>
      <c r="G29" s="30" t="n">
        <f aca="false">Premissas!$B$7</f>
        <v>250000</v>
      </c>
      <c r="H29" s="30" t="n">
        <f aca="false">Premissas!$B$7</f>
        <v>250000</v>
      </c>
      <c r="I29" s="30" t="n">
        <f aca="false">Premissas!$B$7</f>
        <v>250000</v>
      </c>
      <c r="J29" s="30" t="n">
        <f aca="false">Premissas!$B$7</f>
        <v>250000</v>
      </c>
      <c r="K29" s="30" t="n">
        <f aca="false">Premissas!$B$7</f>
        <v>250000</v>
      </c>
      <c r="L29" s="30" t="n">
        <f aca="false">Premissas!$B$7</f>
        <v>250000</v>
      </c>
      <c r="M29" s="30" t="n">
        <f aca="false">Premissas!$B$7</f>
        <v>250000</v>
      </c>
      <c r="N29" s="25"/>
    </row>
    <row r="30" customFormat="false" ht="15" hidden="false" customHeight="false" outlineLevel="0" collapsed="false">
      <c r="A30" s="26" t="s">
        <v>82</v>
      </c>
      <c r="B30" s="30" t="n">
        <f aca="false">B28-B29</f>
        <v>325000</v>
      </c>
      <c r="C30" s="30" t="n">
        <f aca="false">C28-C29</f>
        <v>107000</v>
      </c>
      <c r="D30" s="30" t="n">
        <f aca="false">D28-D29</f>
        <v>173000</v>
      </c>
      <c r="E30" s="30" t="n">
        <f aca="false">E28-E29</f>
        <v>-11000</v>
      </c>
      <c r="F30" s="30" t="n">
        <f aca="false">F28-F29</f>
        <v>-27000</v>
      </c>
      <c r="G30" s="30" t="n">
        <f aca="false">G28-G29</f>
        <v>19000</v>
      </c>
      <c r="H30" s="30" t="n">
        <f aca="false">H28-H29</f>
        <v>91000</v>
      </c>
      <c r="I30" s="30" t="n">
        <f aca="false">I28-I29</f>
        <v>166000</v>
      </c>
      <c r="J30" s="30" t="n">
        <f aca="false">J28-J29</f>
        <v>245000</v>
      </c>
      <c r="K30" s="30" t="n">
        <f aca="false">K28-K29</f>
        <v>325000</v>
      </c>
      <c r="L30" s="30" t="n">
        <f aca="false">L28-L29</f>
        <v>413000</v>
      </c>
      <c r="M30" s="30" t="n">
        <f aca="false">M28-M29</f>
        <v>505000</v>
      </c>
      <c r="N30" s="25"/>
    </row>
    <row r="31" customFormat="false" ht="15" hidden="false" customHeight="false" outlineLevel="0" collapsed="false">
      <c r="A31" s="0" t="s">
        <v>83</v>
      </c>
      <c r="B31" s="31" t="str">
        <f aca="false">IF(B28&lt;B29,"Abaixo do mínimo","OK")</f>
        <v>OK</v>
      </c>
      <c r="C31" s="31" t="str">
        <f aca="false">IF(C28&lt;C29,"Abaixo do mínimo","OK")</f>
        <v>OK</v>
      </c>
      <c r="D31" s="31" t="str">
        <f aca="false">IF(D28&lt;D29,"Abaixo do mínimo","OK")</f>
        <v>OK</v>
      </c>
      <c r="E31" s="31" t="str">
        <f aca="false">IF(E28&lt;E29,"Abaixo do mínimo","OK")</f>
        <v>Abaixo do mínimo</v>
      </c>
      <c r="F31" s="31" t="str">
        <f aca="false">IF(F28&lt;F29,"Abaixo do mínimo","OK")</f>
        <v>Abaixo do mínimo</v>
      </c>
      <c r="G31" s="31" t="str">
        <f aca="false">IF(G28&lt;G29,"Abaixo do mínimo","OK")</f>
        <v>OK</v>
      </c>
      <c r="H31" s="31" t="str">
        <f aca="false">IF(H28&lt;H29,"Abaixo do mínimo","OK")</f>
        <v>OK</v>
      </c>
      <c r="I31" s="31" t="str">
        <f aca="false">IF(I28&lt;I29,"Abaixo do mínimo","OK")</f>
        <v>OK</v>
      </c>
      <c r="J31" s="31" t="str">
        <f aca="false">IF(J28&lt;J29,"Abaixo do mínimo","OK")</f>
        <v>OK</v>
      </c>
      <c r="K31" s="31" t="str">
        <f aca="false">IF(K28&lt;K29,"Abaixo do mínimo","OK")</f>
        <v>OK</v>
      </c>
      <c r="L31" s="31" t="str">
        <f aca="false">IF(L28&lt;L29,"Abaixo do mínimo","OK")</f>
        <v>OK</v>
      </c>
      <c r="M31" s="31" t="str">
        <f aca="false">IF(M28&lt;M29,"Abaixo do mínimo","OK")</f>
        <v>OK</v>
      </c>
    </row>
    <row r="33" customFormat="false" ht="15" hidden="false" customHeight="false" outlineLevel="0" collapsed="false">
      <c r="A33" s="2" t="s">
        <v>84</v>
      </c>
    </row>
    <row r="35" customFormat="false" ht="15" hidden="false" customHeight="false" outlineLevel="0" collapsed="false">
      <c r="A35" s="11" t="s">
        <v>22</v>
      </c>
    </row>
  </sheetData>
  <conditionalFormatting sqref="B28:M28">
    <cfRule type="expression" priority="2" aboveAverage="0" equalAverage="0" bottom="0" percent="0" rank="0" text="" dxfId="0">
      <formula>B$28&lt;B$29</formula>
    </cfRule>
  </conditionalFormatting>
  <conditionalFormatting sqref="B30:M30">
    <cfRule type="expression" priority="3" aboveAverage="0" equalAverage="0" bottom="0" percent="0" rank="0" text="" dxfId="1">
      <formula>B$30&lt;0</formula>
    </cfRule>
  </conditionalFormatting>
  <conditionalFormatting sqref="B31:M31">
    <cfRule type="expression" priority="4" aboveAverage="0" equalAverage="0" bottom="0" percent="0" rank="0" text="" dxfId="0">
      <formula>B$28&lt;B$29</formula>
    </cfRule>
    <cfRule type="expression" priority="5" aboveAverage="0" equalAverage="0" bottom="0" percent="0" rank="0" text="" dxfId="2">
      <formula>B$28&gt;=B$29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  <col collapsed="false" customWidth="true" hidden="false" outlineLevel="0" max="6" min="4" style="0" width="14"/>
  </cols>
  <sheetData>
    <row r="1" customFormat="false" ht="19.7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3" customFormat="false" ht="15" hidden="false" customHeight="false" outlineLevel="0" collapsed="false">
      <c r="A3" s="10" t="str">
        <f aca="false">Premissas!$B$4</f>
        <v>Empresa Exemplo Ltda.</v>
      </c>
    </row>
    <row r="5" customFormat="false" ht="25.5" hidden="false" customHeight="true" outlineLevel="0" collapsed="false">
      <c r="A5" s="18" t="s">
        <v>101</v>
      </c>
      <c r="B5" s="19" t="s">
        <v>102</v>
      </c>
      <c r="C5" s="19" t="s">
        <v>103</v>
      </c>
    </row>
    <row r="6" customFormat="false" ht="15" hidden="false" customHeight="false" outlineLevel="0" collapsed="false">
      <c r="A6" s="26" t="s">
        <v>79</v>
      </c>
      <c r="B6" s="33" t="n">
        <f aca="false">Premissas!$B$6</f>
        <v>480000</v>
      </c>
      <c r="C6" s="33" t="n">
        <f aca="false">Premissas!$B$6</f>
        <v>480000</v>
      </c>
    </row>
    <row r="7" customFormat="false" ht="15" hidden="false" customHeight="false" outlineLevel="0" collapsed="false">
      <c r="A7" s="26" t="s">
        <v>67</v>
      </c>
      <c r="B7" s="33" t="n">
        <f aca="false">Semanal!O12</f>
        <v>2653000</v>
      </c>
      <c r="C7" s="33" t="n">
        <f aca="false">Mensal!N12</f>
        <v>10823000</v>
      </c>
    </row>
    <row r="8" customFormat="false" ht="15" hidden="false" customHeight="false" outlineLevel="0" collapsed="false">
      <c r="A8" s="26" t="s">
        <v>77</v>
      </c>
      <c r="B8" s="33" t="n">
        <f aca="false">Semanal!O23</f>
        <v>2687000</v>
      </c>
      <c r="C8" s="33" t="n">
        <f aca="false">Mensal!N23</f>
        <v>10548000</v>
      </c>
    </row>
    <row r="9" customFormat="false" ht="15" hidden="false" customHeight="false" outlineLevel="0" collapsed="false">
      <c r="A9" s="26" t="s">
        <v>104</v>
      </c>
      <c r="B9" s="33" t="n">
        <f aca="false">Semanal!N28</f>
        <v>446000</v>
      </c>
      <c r="C9" s="33" t="n">
        <f aca="false">Mensal!M28</f>
        <v>755000</v>
      </c>
    </row>
    <row r="10" customFormat="false" ht="15" hidden="false" customHeight="false" outlineLevel="0" collapsed="false">
      <c r="A10" s="34" t="s">
        <v>105</v>
      </c>
      <c r="B10" s="35" t="n">
        <f aca="false">MIN(Semanal!$B$28:$N$28)</f>
        <v>207000</v>
      </c>
      <c r="C10" s="35" t="n">
        <f aca="false">MIN(Mensal!$B$28:$M$28)</f>
        <v>223000</v>
      </c>
    </row>
    <row r="11" customFormat="false" ht="15" hidden="false" customHeight="false" outlineLevel="0" collapsed="false">
      <c r="A11" s="26" t="s">
        <v>106</v>
      </c>
      <c r="B11" s="36" t="str">
        <f aca="false">"S"&amp;MATCH(MIN(Semanal!$B$28:$N$28),Semanal!$B$28:$N$28,0)</f>
        <v>S6</v>
      </c>
      <c r="C11" s="36" t="str">
        <f aca="false">"M"&amp;MATCH(MIN(Mensal!$B$28:$M$28),Mensal!$B$28:$M$28,0)</f>
        <v>M5</v>
      </c>
    </row>
    <row r="12" customFormat="false" ht="15" hidden="false" customHeight="false" outlineLevel="0" collapsed="false">
      <c r="A12" s="26" t="s">
        <v>107</v>
      </c>
      <c r="B12" s="37" t="n">
        <f aca="false">INDEX(Semanal!$B$6:$N$6,1,MATCH(MIN(Semanal!$B$28:$N$28),Semanal!$B$28:$N$28,0))</f>
        <v>46370</v>
      </c>
      <c r="C12" s="38" t="n">
        <f aca="false">INDEX(Mensal!$B$6:$M$6,1,MATCH(MIN(Mensal!$B$28:$M$28),Mensal!$B$28:$M$28,0))</f>
        <v>46447</v>
      </c>
    </row>
    <row r="13" customFormat="false" ht="15" hidden="false" customHeight="false" outlineLevel="0" collapsed="false">
      <c r="A13" s="26" t="s">
        <v>108</v>
      </c>
      <c r="B13" s="39" t="n">
        <f aca="false">COUNTIF(Semanal!$B$28:$N$28,"&lt;"&amp;Premissas!$B$7)</f>
        <v>1</v>
      </c>
      <c r="C13" s="39" t="n">
        <f aca="false">COUNTIF(Mensal!$B$28:$M$28,"&lt;"&amp;Premissas!$B$7)</f>
        <v>2</v>
      </c>
    </row>
    <row r="14" customFormat="false" ht="15" hidden="false" customHeight="false" outlineLevel="0" collapsed="false">
      <c r="A14" s="34" t="s">
        <v>109</v>
      </c>
      <c r="B14" s="35" t="n">
        <f aca="false">MAX(0,Premissas!$B$7-MIN(Semanal!$B$28:$N$28))</f>
        <v>43000</v>
      </c>
      <c r="C14" s="35" t="n">
        <f aca="false">MAX(0,Premissas!$B$7-MIN(Mensal!$B$28:$M$28))</f>
        <v>27000</v>
      </c>
    </row>
    <row r="16" customFormat="false" ht="15" hidden="false" customHeight="false" outlineLevel="0" collapsed="false">
      <c r="A16" s="0" t="s">
        <v>110</v>
      </c>
      <c r="B16" s="40" t="n">
        <f aca="false">Premissas!$B$7</f>
        <v>250000</v>
      </c>
      <c r="C16" s="40" t="n">
        <f aca="false">Premissas!$B$7</f>
        <v>250000</v>
      </c>
    </row>
    <row r="18" customFormat="false" ht="15" hidden="false" customHeight="false" outlineLevel="0" collapsed="false">
      <c r="A18" s="16" t="s">
        <v>111</v>
      </c>
    </row>
    <row r="19" customFormat="false" ht="31.5" hidden="false" customHeight="true" outlineLevel="0" collapsed="false">
      <c r="A19" s="41" t="str">
        <f aca="false">IF(B14&gt;0,"Semanal: o caixa fura o mínimo em "&amp;B13&amp;" semana(s); a pior é a semana "&amp;B11&amp;" (início em "&amp;TEXT(B12,"dd/mm")&amp;"), com saldo de R$ "&amp;FIXED(B10,0)&amp;". Antecipe recebíveis, renegocie pagamentos ou contrate R$ "&amp;FIXED(B14,0)&amp;" antes dela.","Semanal: o saldo fica acima do caixa mínimo nas 13 semanas. Menor folga na semana "&amp;B11&amp;".")</f>
        <v>Semanal: o caixa fura o mínimo em 1 semana(s); a pior é a semana S6 (início em 14/12), com saldo de R$ 207,000. Antecipe recebíveis, renegocie pagamentos ou contrate R$ 43,000 antes dela.</v>
      </c>
      <c r="B19" s="41"/>
      <c r="C19" s="41"/>
      <c r="D19" s="41"/>
      <c r="E19" s="41"/>
      <c r="F19" s="41"/>
    </row>
    <row r="20" customFormat="false" ht="31.5" hidden="false" customHeight="true" outlineLevel="0" collapsed="false">
      <c r="A20" s="41" t="str">
        <f aca="false">IF(C14&gt;0,"Mensal: "&amp;C13&amp;" mês(es) abaixo do mínimo; o mais crítico é o "&amp;C11&amp;". Necessidade de captação de R$ "&amp;FIXED(C14,0)&amp;".","Mensal: o saldo fica acima do caixa mínimo nos 12 meses.")</f>
        <v>Mensal: 2 mês(es) abaixo do mínimo; o mais crítico é o M5. Necessidade de captação de R$ 27,000.</v>
      </c>
      <c r="B20" s="41"/>
      <c r="C20" s="41"/>
      <c r="D20" s="41"/>
      <c r="E20" s="41"/>
      <c r="F20" s="41"/>
    </row>
    <row r="41" customFormat="false" ht="15" hidden="false" customHeight="false" outlineLevel="0" collapsed="false">
      <c r="A41" s="11" t="s">
        <v>22</v>
      </c>
    </row>
  </sheetData>
  <mergeCells count="2">
    <mergeCell ref="A19:F19"/>
    <mergeCell ref="A20:F20"/>
  </mergeCells>
  <conditionalFormatting sqref="B14:C14">
    <cfRule type="expression" priority="2" aboveAverage="0" equalAverage="0" bottom="0" percent="0" rank="0" text="" dxfId="0">
      <formula>B14&gt;0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2026-11-05T07:35:36Z</dcterms:created>
  <dc:creator>openpyxl</dc:creator>
  <dc:description/>
  <dc:language>en-US</dc:language>
  <cp:lastModifiedBy/>
  <dcterms:modified xsi:type="dcterms:W3CDTF">2026-11-05T04:35:37Z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