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lano" sheetId="2" state="visible" r:id="rId4"/>
    <sheet name="Lançamentos" sheetId="3" state="visible" r:id="rId5"/>
    <sheet name="DRE" sheetId="4" state="visible" r:id="rId6"/>
    <sheet name="Indicador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<sst xmlns="http://schemas.openxmlformats.org/spreadsheetml/2006/main" count="285" uniqueCount="172">
  <si>
    <t xml:space="preserve">DRE gerencial mensal · Empresa Exemplo Ltda.</t>
  </si>
  <si>
    <t xml:space="preserve">Modelo LeverPro para montar a DRE gerencial do ano, mês a mês, com análise vertical e indicadores.</t>
  </si>
  <si>
    <t xml:space="preserve">O que é</t>
  </si>
  <si>
    <t xml:space="preserve">A DRE gerencial mostra o resultado do jeito que o gestor decide: receita, margem de contribuição, despesas fixas por grupo, EBITDA e lucro.</t>
  </si>
  <si>
    <t xml:space="preserve">Você lança o saldo mensal de cada conta contábil, o de-para leva cada conta para uma linha gerencial e a DRE se monta sozinha.</t>
  </si>
  <si>
    <t xml:space="preserve">Como preencher</t>
  </si>
  <si>
    <t xml:space="preserve">1</t>
  </si>
  <si>
    <t xml:space="preserve">Aba Plano: troque o plano de contas do exemplo pelo seu (código e nome da conta) e escolha a linha gerencial de cada conta na lista.</t>
  </si>
  <si>
    <t xml:space="preserve">2</t>
  </si>
  <si>
    <t xml:space="preserve">Aba Lançamentos: cole o código da conta e o saldo de cada mês (balancete ou razão do mês). Lance tudo em valor positivo: o sinal vem da DRE.</t>
  </si>
  <si>
    <t xml:space="preserve">3</t>
  </si>
  <si>
    <t xml:space="preserve">Confira o alerta no topo de Lançamentos: ele mostra contas sem de-para. Corrija até ficar zerado.</t>
  </si>
  <si>
    <t xml:space="preserve">4</t>
  </si>
  <si>
    <t xml:space="preserve">Aba DRE: confira os subtotais e a análise vertical (cada linha em % da receita líquida do ano).</t>
  </si>
  <si>
    <t xml:space="preserve">5</t>
  </si>
  <si>
    <t xml:space="preserve">Aba Indicadores: acompanhe margens, peso das despesas fixas sobre a receita e o ponto de equilíbrio de cada mês.</t>
  </si>
  <si>
    <t xml:space="preserve">Legenda de cores</t>
  </si>
  <si>
    <t xml:space="preserve">Azul em fundo claro</t>
  </si>
  <si>
    <t xml:space="preserve">Célula de entrada: digite aqui.</t>
  </si>
  <si>
    <t xml:space="preserve">Preto</t>
  </si>
  <si>
    <t xml:space="preserve">Fórmula: não digite por cima.</t>
  </si>
  <si>
    <t xml:space="preserve">Negrito com borda</t>
  </si>
  <si>
    <t xml:space="preserve">Subtotal ou total.</t>
  </si>
  <si>
    <t xml:space="preserve">Observações</t>
  </si>
  <si>
    <t xml:space="preserve">Os números são de uma empresa fictícia (distribuição com serviços e contratos de manutenção). Troque pelos seus.</t>
  </si>
  <si>
    <t xml:space="preserve">Valores em reais. Lance custos e despesas como positivos; receitas financeiras e despesas financeiras em contas separadas.</t>
  </si>
  <si>
    <t xml:space="preserve">Para mais linhas de produto, inclua a linha na lista da aba Plano (coluna F) e uma linha igual na DRE, copiando a fórmula da linha de cima.</t>
  </si>
  <si>
    <t xml:space="preserve">Contato</t>
  </si>
  <si>
    <t xml:space="preserve">Dúvidas e sugestões: @alyssonguimaraes no Instagram e no LinkedIn.</t>
  </si>
  <si>
    <t xml:space="preserve">Modelo LeverPro · @alyssonguimaraes</t>
  </si>
  <si>
    <t xml:space="preserve">Plano de contas e de-para gerencial</t>
  </si>
  <si>
    <t xml:space="preserve">Cada conta contábil vai para uma linha gerencial da DRE. A lista de linhas está à direita.</t>
  </si>
  <si>
    <t xml:space="preserve">Código</t>
  </si>
  <si>
    <t xml:space="preserve">Conta contábil</t>
  </si>
  <si>
    <t xml:space="preserve">Linha gerencial</t>
  </si>
  <si>
    <t xml:space="preserve">Grupo da DRE</t>
  </si>
  <si>
    <t xml:space="preserve">3.1.01</t>
  </si>
  <si>
    <t xml:space="preserve">Venda de produtos</t>
  </si>
  <si>
    <t xml:space="preserve">Receita de produtos</t>
  </si>
  <si>
    <t xml:space="preserve">Receita bruta</t>
  </si>
  <si>
    <t xml:space="preserve">3.1.02</t>
  </si>
  <si>
    <t xml:space="preserve">Serviços de instalação e projeto</t>
  </si>
  <si>
    <t xml:space="preserve">Receita de serviços</t>
  </si>
  <si>
    <t xml:space="preserve">3.1.03</t>
  </si>
  <si>
    <t xml:space="preserve">Contratos de manutenção</t>
  </si>
  <si>
    <t xml:space="preserve">Receita recorrente (contratos)</t>
  </si>
  <si>
    <t xml:space="preserve">3.2.01</t>
  </si>
  <si>
    <t xml:space="preserve">ICMS sobre vendas</t>
  </si>
  <si>
    <t xml:space="preserve">Impostos sobre vendas</t>
  </si>
  <si>
    <t xml:space="preserve">Deduções</t>
  </si>
  <si>
    <t xml:space="preserve">3.2.02</t>
  </si>
  <si>
    <t xml:space="preserve">PIS e COFINS sobre vendas</t>
  </si>
  <si>
    <t xml:space="preserve">Devoluções e abatimentos</t>
  </si>
  <si>
    <t xml:space="preserve">3.2.03</t>
  </si>
  <si>
    <t xml:space="preserve">ISS sobre serviços</t>
  </si>
  <si>
    <t xml:space="preserve">CMV / CPV</t>
  </si>
  <si>
    <t xml:space="preserve">Custos variáveis</t>
  </si>
  <si>
    <t xml:space="preserve">3.2.04</t>
  </si>
  <si>
    <t xml:space="preserve">Devoluções de vendas</t>
  </si>
  <si>
    <t xml:space="preserve">Comissões sobre vendas</t>
  </si>
  <si>
    <t xml:space="preserve">4.1.01</t>
  </si>
  <si>
    <t xml:space="preserve">Custo das mercadorias vendidas</t>
  </si>
  <si>
    <t xml:space="preserve">Fretes sobre vendas</t>
  </si>
  <si>
    <t xml:space="preserve">4.1.02</t>
  </si>
  <si>
    <t xml:space="preserve">Custo dos serviços prestados</t>
  </si>
  <si>
    <t xml:space="preserve">Pessoal</t>
  </si>
  <si>
    <t xml:space="preserve">Despesas fixas</t>
  </si>
  <si>
    <t xml:space="preserve">4.2.01</t>
  </si>
  <si>
    <t xml:space="preserve">Comissões de vendedores</t>
  </si>
  <si>
    <t xml:space="preserve">Ocupação</t>
  </si>
  <si>
    <t xml:space="preserve">4.2.02</t>
  </si>
  <si>
    <t xml:space="preserve">Administrativas</t>
  </si>
  <si>
    <t xml:space="preserve">5.1.01</t>
  </si>
  <si>
    <t xml:space="preserve">Salários e encargos</t>
  </si>
  <si>
    <t xml:space="preserve">Comerciais e marketing</t>
  </si>
  <si>
    <t xml:space="preserve">5.1.02</t>
  </si>
  <si>
    <t xml:space="preserve">Benefícios</t>
  </si>
  <si>
    <t xml:space="preserve">Tecnologia</t>
  </si>
  <si>
    <t xml:space="preserve">5.2.01</t>
  </si>
  <si>
    <t xml:space="preserve">Aluguel e condomínio</t>
  </si>
  <si>
    <t xml:space="preserve">Depreciação e amortização</t>
  </si>
  <si>
    <t xml:space="preserve">5.2.02</t>
  </si>
  <si>
    <t xml:space="preserve">Energia, água e manutenção predial</t>
  </si>
  <si>
    <t xml:space="preserve">Receitas financeiras</t>
  </si>
  <si>
    <t xml:space="preserve">Resultado financeiro</t>
  </si>
  <si>
    <t xml:space="preserve">5.3.01</t>
  </si>
  <si>
    <t xml:space="preserve">Contabilidade e jurídico</t>
  </si>
  <si>
    <t xml:space="preserve">Despesas financeiras</t>
  </si>
  <si>
    <t xml:space="preserve">5.3.02</t>
  </si>
  <si>
    <t xml:space="preserve">Material e despesas gerais</t>
  </si>
  <si>
    <t xml:space="preserve">IR e CSLL</t>
  </si>
  <si>
    <t xml:space="preserve">5.4.01</t>
  </si>
  <si>
    <t xml:space="preserve">Marketing e eventos</t>
  </si>
  <si>
    <t xml:space="preserve">5.4.02</t>
  </si>
  <si>
    <t xml:space="preserve">Viagens comerciais</t>
  </si>
  <si>
    <t xml:space="preserve">5.5.01</t>
  </si>
  <si>
    <t xml:space="preserve">Softwares e licenças</t>
  </si>
  <si>
    <t xml:space="preserve">5.5.02</t>
  </si>
  <si>
    <t xml:space="preserve">Infraestrutura e telecom</t>
  </si>
  <si>
    <t xml:space="preserve">6.1.01</t>
  </si>
  <si>
    <t xml:space="preserve">Depreciação</t>
  </si>
  <si>
    <t xml:space="preserve">6.1.02</t>
  </si>
  <si>
    <t xml:space="preserve">Amortização de intangíveis</t>
  </si>
  <si>
    <t xml:space="preserve">7.1.01</t>
  </si>
  <si>
    <t xml:space="preserve">Rendimentos de aplicações</t>
  </si>
  <si>
    <t xml:space="preserve">7.2.01</t>
  </si>
  <si>
    <t xml:space="preserve">Juros de empréstimos</t>
  </si>
  <si>
    <t xml:space="preserve">7.2.02</t>
  </si>
  <si>
    <t xml:space="preserve">Tarifas bancárias e IOF</t>
  </si>
  <si>
    <t xml:space="preserve">8.1.01</t>
  </si>
  <si>
    <t xml:space="preserve">IRPJ e CSLL</t>
  </si>
  <si>
    <t xml:space="preserve">Lançamentos mensais por conta</t>
  </si>
  <si>
    <t xml:space="preserve">Saldo do mês de cada conta, em valor positivo. Conta e linha gerencial vêm do Plano.</t>
  </si>
  <si>
    <t xml:space="preserve">Contas sem de-para:</t>
  </si>
  <si>
    <t xml:space="preserve">jan/26</t>
  </si>
  <si>
    <t xml:space="preserve">fev/26</t>
  </si>
  <si>
    <t xml:space="preserve">mar/26</t>
  </si>
  <si>
    <t xml:space="preserve">abr/26</t>
  </si>
  <si>
    <t xml:space="preserve">mai/26</t>
  </si>
  <si>
    <t xml:space="preserve">jun/26</t>
  </si>
  <si>
    <t xml:space="preserve">jul/26</t>
  </si>
  <si>
    <t xml:space="preserve">ago/26</t>
  </si>
  <si>
    <t xml:space="preserve">set/26</t>
  </si>
  <si>
    <t xml:space="preserve">out/26</t>
  </si>
  <si>
    <t xml:space="preserve">nov/26</t>
  </si>
  <si>
    <t xml:space="preserve">dez/26</t>
  </si>
  <si>
    <t xml:space="preserve">Total do ano</t>
  </si>
  <si>
    <t xml:space="preserve">Total lançado</t>
  </si>
  <si>
    <t xml:space="preserve">DRE gerencial · Empresa Exemplo Ltda. · 2026</t>
  </si>
  <si>
    <t xml:space="preserve">Montada a partir dos lançamentos. AV = cada linha em % da receita líquida do ano.</t>
  </si>
  <si>
    <t xml:space="preserve">AV %</t>
  </si>
  <si>
    <t xml:space="preserve">   Receita de produtos</t>
  </si>
  <si>
    <t xml:space="preserve">   Receita de serviços</t>
  </si>
  <si>
    <t xml:space="preserve">   Receita recorrente (contratos)</t>
  </si>
  <si>
    <t xml:space="preserve">Deduções da receita</t>
  </si>
  <si>
    <t xml:space="preserve">   Impostos sobre vendas</t>
  </si>
  <si>
    <t xml:space="preserve">   Devoluções e abatimentos</t>
  </si>
  <si>
    <t xml:space="preserve">Receita líquida</t>
  </si>
  <si>
    <t xml:space="preserve">   CMV / CPV</t>
  </si>
  <si>
    <t xml:space="preserve">   Comissões sobre vendas</t>
  </si>
  <si>
    <t xml:space="preserve">   Fretes sobre vendas</t>
  </si>
  <si>
    <t xml:space="preserve">Margem de contribuição</t>
  </si>
  <si>
    <t xml:space="preserve">   Pessoal</t>
  </si>
  <si>
    <t xml:space="preserve">   Ocupação</t>
  </si>
  <si>
    <t xml:space="preserve">   Administrativas</t>
  </si>
  <si>
    <t xml:space="preserve">   Comerciais e marketing</t>
  </si>
  <si>
    <t xml:space="preserve">   Tecnologia</t>
  </si>
  <si>
    <t xml:space="preserve">EBITDA</t>
  </si>
  <si>
    <t xml:space="preserve">   Depreciação e amortização</t>
  </si>
  <si>
    <t xml:space="preserve">EBIT (resultado operacional)</t>
  </si>
  <si>
    <t xml:space="preserve">   Receitas financeiras</t>
  </si>
  <si>
    <t xml:space="preserve">   Despesas financeiras</t>
  </si>
  <si>
    <t xml:space="preserve">Resultado antes de IR e CSLL</t>
  </si>
  <si>
    <t xml:space="preserve">   IR e CSLL</t>
  </si>
  <si>
    <t xml:space="preserve">Lucro líquido</t>
  </si>
  <si>
    <t xml:space="preserve">Conferência: valores lançados fora da DRE</t>
  </si>
  <si>
    <t xml:space="preserve">Indicadores do resultado</t>
  </si>
  <si>
    <t xml:space="preserve">Margens sobre a receita líquida, peso de cada grupo de despesa e ponto de equilíbrio, mês a mês.</t>
  </si>
  <si>
    <t xml:space="preserve">Indicador</t>
  </si>
  <si>
    <t xml:space="preserve">Ano</t>
  </si>
  <si>
    <t xml:space="preserve">Crescimento da receita líquida sobre o mês anterior</t>
  </si>
  <si>
    <t xml:space="preserve">Deduções sobre a receita bruta</t>
  </si>
  <si>
    <t xml:space="preserve">Margem EBITDA</t>
  </si>
  <si>
    <t xml:space="preserve">Margem EBIT</t>
  </si>
  <si>
    <t xml:space="preserve">Margem líquida</t>
  </si>
  <si>
    <t xml:space="preserve">Despesas sobre a receita líquida</t>
  </si>
  <si>
    <t xml:space="preserve">   Custos variáveis</t>
  </si>
  <si>
    <t xml:space="preserve">Total das despesas fixas</t>
  </si>
  <si>
    <t xml:space="preserve">Ponto de equilíbrio</t>
  </si>
  <si>
    <t xml:space="preserve">Receita líquida de equilíbrio (fixas ÷ margem de contribuição %)</t>
  </si>
  <si>
    <t xml:space="preserve">Margem de segurança (quanto a receita pode cair)</t>
  </si>
  <si>
    <t xml:space="preserve">Crescimento no ano: dezembro contra janeiro. Ponto de equilíbrio sem considerar D&amp;A, resultado financeiro e IR.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</si>
</sst>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&quot;R$ &quot;#,##0;[RED]&quot;-R$ &quot;#,##0;\-"/>
    <numFmt numFmtId="167" formatCode="0.0%;[RED]\-0.0%;\-"/>
    <numFmt numFmtId="168" formatCode="#,##0"/>
    <numFmt numFmtId="169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2"/>
      <color rgb="FF0B1B3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2F5BEA"/>
      <name val="Calibri"/>
      <family val="0"/>
      <charset val="1"/>
    </font>
    <font>
      <i val="true"/>
      <sz val="9"/>
      <color rgb="FF5E6B8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2F5BEA"/>
      <name val="Calibri"/>
      <family val="0"/>
      <charset val="1"/>
    </font>
    <font>
      <sz val="11"/>
      <color rgb="FF5E6B8C"/>
      <name val="Calibri"/>
      <family val="0"/>
      <charset val="1"/>
    </font>
    <font>
      <b val="true"/>
      <sz val="10"/>
      <color rgb="FF5E6B8C"/>
      <name val="Calibri"/>
      <family val="0"/>
      <charset val="1"/>
    </font>
    <font>
      <sz val="10"/>
      <color rgb="FF5E6B8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4F6FB"/>
        <bgColor rgb="FFEEF2FA"/>
      </patternFill>
    </fill>
    <fill>
      <patternFill patternType="solid">
        <fgColor rgb="FF0B1B3F"/>
        <bgColor rgb="FF003300"/>
      </patternFill>
    </fill>
    <fill>
      <patternFill patternType="solid">
        <fgColor rgb="FFEEF2FA"/>
        <bgColor rgb="FFF4F6F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0B1B3F"/>
      </top>
      <bottom/>
      <diagonal/>
    </border>
    <border diagonalUp="false" diagonalDown="false">
      <left/>
      <right/>
      <top/>
      <bottom style="hair">
        <color rgb="FFD6DEEF"/>
      </bottom>
      <diagonal/>
    </border>
    <border diagonalUp="false" diagonalDown="false">
      <left/>
      <right/>
      <top style="medium">
        <color rgb="FF0B1B3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4F6FB"/>
      <rgbColor rgb="FFEEF2FA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5BEA"/>
      <rgbColor rgb="FF33CCCC"/>
      <rgbColor rgb="FF98B855"/>
      <rgbColor rgb="FFFFCC00"/>
      <rgbColor rgb="FFFF9900"/>
      <rgbColor rgb="FFFF6600"/>
      <rgbColor rgb="FF5E6B8C"/>
      <rgbColor rgb="FF4F81BD"/>
      <rgbColor rgb="FF0B1B3F"/>
      <rgbColor rgb="FF4A7EBB"/>
      <rgbColor rgb="FF003300"/>
      <rgbColor rgb="FF333300"/>
      <rgbColor rgb="FFC0392B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 líquida e EBITDA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DRE!A13</c:f>
              <c:strCache>
                <c:ptCount val="1"/>
                <c:pt idx="0">
                  <c:v>Receita líquida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DRE!$B$4:$M$4</c:f>
              <c:strCache>
                <c:ptCount val="12"/>
                <c:pt idx="0">
                  <c:v>jan/26</c:v>
                </c:pt>
                <c:pt idx="1">
                  <c:v>fev/26</c:v>
                </c:pt>
                <c:pt idx="2">
                  <c:v>mar/26</c:v>
                </c:pt>
                <c:pt idx="3">
                  <c:v>abr/26</c:v>
                </c:pt>
                <c:pt idx="4">
                  <c:v>mai/26</c:v>
                </c:pt>
                <c:pt idx="5">
                  <c:v>jun/26</c:v>
                </c:pt>
                <c:pt idx="6">
                  <c:v>jul/26</c:v>
                </c:pt>
                <c:pt idx="7">
                  <c:v>ago/26</c:v>
                </c:pt>
                <c:pt idx="8">
                  <c:v>set/26</c:v>
                </c:pt>
                <c:pt idx="9">
                  <c:v>out/26</c:v>
                </c:pt>
                <c:pt idx="10">
                  <c:v>nov/26</c:v>
                </c:pt>
                <c:pt idx="11">
                  <c:v>dez/26</c:v>
                </c:pt>
              </c:strCache>
            </c:strRef>
          </c:cat>
          <c:val>
            <c:numRef>
              <c:f>DRE!$B$13:$M$13</c:f>
              <c:numCache>
                <c:formatCode>"R$ "#,##0;[RED]"-R$ "#,##0;\-</c:formatCode>
                <c:ptCount val="12"/>
                <c:pt idx="0">
                  <c:v>825910</c:v>
                </c:pt>
                <c:pt idx="1">
                  <c:v>843620</c:v>
                </c:pt>
                <c:pt idx="2">
                  <c:v>923941</c:v>
                </c:pt>
                <c:pt idx="3">
                  <c:v>902606</c:v>
                </c:pt>
                <c:pt idx="4">
                  <c:v>943881</c:v>
                </c:pt>
                <c:pt idx="5">
                  <c:v>914806</c:v>
                </c:pt>
                <c:pt idx="6">
                  <c:v>893556</c:v>
                </c:pt>
                <c:pt idx="7">
                  <c:v>934917</c:v>
                </c:pt>
                <c:pt idx="8">
                  <c:v>960625</c:v>
                </c:pt>
                <c:pt idx="9">
                  <c:v>986419</c:v>
                </c:pt>
                <c:pt idx="10">
                  <c:v>1004473</c:v>
                </c:pt>
                <c:pt idx="11">
                  <c:v>1046005</c:v>
                </c:pt>
              </c:numCache>
            </c:numRef>
          </c:val>
        </c:ser>
        <c:ser>
          <c:idx val="1"/>
          <c:order val="1"/>
          <c:tx>
            <c:strRef>
              <c:f>DRE!A25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DRE!$B$4:$M$4</c:f>
              <c:strCache>
                <c:ptCount val="12"/>
                <c:pt idx="0">
                  <c:v>jan/26</c:v>
                </c:pt>
                <c:pt idx="1">
                  <c:v>fev/26</c:v>
                </c:pt>
                <c:pt idx="2">
                  <c:v>mar/26</c:v>
                </c:pt>
                <c:pt idx="3">
                  <c:v>abr/26</c:v>
                </c:pt>
                <c:pt idx="4">
                  <c:v>mai/26</c:v>
                </c:pt>
                <c:pt idx="5">
                  <c:v>jun/26</c:v>
                </c:pt>
                <c:pt idx="6">
                  <c:v>jul/26</c:v>
                </c:pt>
                <c:pt idx="7">
                  <c:v>ago/26</c:v>
                </c:pt>
                <c:pt idx="8">
                  <c:v>set/26</c:v>
                </c:pt>
                <c:pt idx="9">
                  <c:v>out/26</c:v>
                </c:pt>
                <c:pt idx="10">
                  <c:v>nov/26</c:v>
                </c:pt>
                <c:pt idx="11">
                  <c:v>dez/26</c:v>
                </c:pt>
              </c:strCache>
            </c:strRef>
          </c:cat>
          <c:val>
            <c:numRef>
              <c:f>DRE!$B$25:$M$25</c:f>
              <c:numCache>
                <c:formatCode>"R$ "#,##0;[RED]"-R$ "#,##0;\-</c:formatCode>
                <c:ptCount val="12"/>
                <c:pt idx="0">
                  <c:v>65306</c:v>
                </c:pt>
                <c:pt idx="1">
                  <c:v>69660</c:v>
                </c:pt>
                <c:pt idx="2">
                  <c:v>94561</c:v>
                </c:pt>
                <c:pt idx="3">
                  <c:v>89975</c:v>
                </c:pt>
                <c:pt idx="4">
                  <c:v>96135</c:v>
                </c:pt>
                <c:pt idx="5">
                  <c:v>89182</c:v>
                </c:pt>
                <c:pt idx="6">
                  <c:v>84046</c:v>
                </c:pt>
                <c:pt idx="7">
                  <c:v>94657</c:v>
                </c:pt>
                <c:pt idx="8">
                  <c:v>100331</c:v>
                </c:pt>
                <c:pt idx="9">
                  <c:v>107256</c:v>
                </c:pt>
                <c:pt idx="10">
                  <c:v>110514</c:v>
                </c:pt>
                <c:pt idx="11">
                  <c:v>132426</c:v>
                </c:pt>
              </c:numCache>
            </c:numRef>
          </c:val>
        </c:ser>
        <c:gapWidth val="150"/>
        <c:overlap val="0"/>
        <c:axId val="32944269"/>
        <c:axId val="72709871"/>
      </c:barChart>
      <c:catAx>
        <c:axId val="329442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709871"/>
        <c:crosses val="autoZero"/>
        <c:auto val="1"/>
        <c:lblAlgn val="ctr"/>
        <c:lblOffset val="100"/>
        <c:noMultiLvlLbl val="0"/>
      </c:catAx>
      <c:valAx>
        <c:axId val="72709871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94426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Margens sobre a receita líquida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Indicadores!A8</c:f>
              <c:strCache>
                <c:ptCount val="1"/>
                <c:pt idx="0">
                  <c:v>Margem de contribuição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Indicadores!$B$4:$M$4</c:f>
              <c:strCache>
                <c:ptCount val="12"/>
                <c:pt idx="0">
                  <c:v>jan/26</c:v>
                </c:pt>
                <c:pt idx="1">
                  <c:v>fev/26</c:v>
                </c:pt>
                <c:pt idx="2">
                  <c:v>mar/26</c:v>
                </c:pt>
                <c:pt idx="3">
                  <c:v>abr/26</c:v>
                </c:pt>
                <c:pt idx="4">
                  <c:v>mai/26</c:v>
                </c:pt>
                <c:pt idx="5">
                  <c:v>jun/26</c:v>
                </c:pt>
                <c:pt idx="6">
                  <c:v>jul/26</c:v>
                </c:pt>
                <c:pt idx="7">
                  <c:v>ago/26</c:v>
                </c:pt>
                <c:pt idx="8">
                  <c:v>set/26</c:v>
                </c:pt>
                <c:pt idx="9">
                  <c:v>out/26</c:v>
                </c:pt>
                <c:pt idx="10">
                  <c:v>nov/26</c:v>
                </c:pt>
                <c:pt idx="11">
                  <c:v>dez/26</c:v>
                </c:pt>
              </c:strCache>
            </c:strRef>
          </c:cat>
          <c:val>
            <c:numRef>
              <c:f>Indicadores!$B$8:$M$8</c:f>
              <c:numCache>
                <c:formatCode>0.0%;[RED]\-0.0%;\-</c:formatCode>
                <c:ptCount val="12"/>
                <c:pt idx="0">
                  <c:v>0.409252824157596</c:v>
                </c:pt>
                <c:pt idx="1">
                  <c:v>0.409023019843057</c:v>
                </c:pt>
                <c:pt idx="2">
                  <c:v>0.406369021398553</c:v>
                </c:pt>
                <c:pt idx="3">
                  <c:v>0.407680649142594</c:v>
                </c:pt>
                <c:pt idx="4">
                  <c:v>0.40665613567812</c:v>
                </c:pt>
                <c:pt idx="5">
                  <c:v>0.40826360998944</c:v>
                </c:pt>
                <c:pt idx="6">
                  <c:v>0.409650878064721</c:v>
                </c:pt>
                <c:pt idx="7">
                  <c:v>0.40854642711599</c:v>
                </c:pt>
                <c:pt idx="8">
                  <c:v>0.408099934938191</c:v>
                </c:pt>
                <c:pt idx="9">
                  <c:v>0.407692876962021</c:v>
                </c:pt>
                <c:pt idx="10">
                  <c:v>0.407590846145193</c:v>
                </c:pt>
                <c:pt idx="11">
                  <c:v>0.406715073063704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Indicadores!A9</c:f>
              <c:strCache>
                <c:ptCount val="1"/>
                <c:pt idx="0">
                  <c:v>Margem EBITDA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Indicadores!$B$4:$M$4</c:f>
              <c:strCache>
                <c:ptCount val="12"/>
                <c:pt idx="0">
                  <c:v>jan/26</c:v>
                </c:pt>
                <c:pt idx="1">
                  <c:v>fev/26</c:v>
                </c:pt>
                <c:pt idx="2">
                  <c:v>mar/26</c:v>
                </c:pt>
                <c:pt idx="3">
                  <c:v>abr/26</c:v>
                </c:pt>
                <c:pt idx="4">
                  <c:v>mai/26</c:v>
                </c:pt>
                <c:pt idx="5">
                  <c:v>jun/26</c:v>
                </c:pt>
                <c:pt idx="6">
                  <c:v>jul/26</c:v>
                </c:pt>
                <c:pt idx="7">
                  <c:v>ago/26</c:v>
                </c:pt>
                <c:pt idx="8">
                  <c:v>set/26</c:v>
                </c:pt>
                <c:pt idx="9">
                  <c:v>out/26</c:v>
                </c:pt>
                <c:pt idx="10">
                  <c:v>nov/26</c:v>
                </c:pt>
                <c:pt idx="11">
                  <c:v>dez/26</c:v>
                </c:pt>
              </c:strCache>
            </c:strRef>
          </c:cat>
          <c:val>
            <c:numRef>
              <c:f>Indicadores!$B$9:$M$9</c:f>
              <c:numCache>
                <c:formatCode>0.0%;[RED]\-0.0%;\-</c:formatCode>
                <c:ptCount val="12"/>
                <c:pt idx="0">
                  <c:v>0.0790715695414755</c:v>
                </c:pt>
                <c:pt idx="1">
                  <c:v>0.0825727223157346</c:v>
                </c:pt>
                <c:pt idx="2">
                  <c:v>0.102345279622833</c:v>
                </c:pt>
                <c:pt idx="3">
                  <c:v>0.0996835828700452</c:v>
                </c:pt>
                <c:pt idx="4">
                  <c:v>0.101850762966942</c:v>
                </c:pt>
                <c:pt idx="5">
                  <c:v>0.0974873361127933</c:v>
                </c:pt>
                <c:pt idx="6">
                  <c:v>0.0940578990012937</c:v>
                </c:pt>
                <c:pt idx="7">
                  <c:v>0.101246420805269</c:v>
                </c:pt>
                <c:pt idx="8">
                  <c:v>0.104443461288224</c:v>
                </c:pt>
                <c:pt idx="9">
                  <c:v>0.108732698782161</c:v>
                </c:pt>
                <c:pt idx="10">
                  <c:v>0.110021872165802</c:v>
                </c:pt>
                <c:pt idx="11">
                  <c:v>0.126601689284468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Indicadores!A11</c:f>
              <c:strCache>
                <c:ptCount val="1"/>
                <c:pt idx="0">
                  <c:v>Margem líquida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Indicadores!$B$4:$M$4</c:f>
              <c:strCache>
                <c:ptCount val="12"/>
                <c:pt idx="0">
                  <c:v>jan/26</c:v>
                </c:pt>
                <c:pt idx="1">
                  <c:v>fev/26</c:v>
                </c:pt>
                <c:pt idx="2">
                  <c:v>mar/26</c:v>
                </c:pt>
                <c:pt idx="3">
                  <c:v>abr/26</c:v>
                </c:pt>
                <c:pt idx="4">
                  <c:v>mai/26</c:v>
                </c:pt>
                <c:pt idx="5">
                  <c:v>jun/26</c:v>
                </c:pt>
                <c:pt idx="6">
                  <c:v>jul/26</c:v>
                </c:pt>
                <c:pt idx="7">
                  <c:v>ago/26</c:v>
                </c:pt>
                <c:pt idx="8">
                  <c:v>set/26</c:v>
                </c:pt>
                <c:pt idx="9">
                  <c:v>out/26</c:v>
                </c:pt>
                <c:pt idx="10">
                  <c:v>nov/26</c:v>
                </c:pt>
                <c:pt idx="11">
                  <c:v>dez/26</c:v>
                </c:pt>
              </c:strCache>
            </c:strRef>
          </c:cat>
          <c:val>
            <c:numRef>
              <c:f>Indicadores!$B$11:$M$11</c:f>
              <c:numCache>
                <c:formatCode>0.0%;[RED]\-0.0%;\-</c:formatCode>
                <c:ptCount val="12"/>
                <c:pt idx="0">
                  <c:v>0.01934351200494</c:v>
                </c:pt>
                <c:pt idx="1">
                  <c:v>0.0227460230909651</c:v>
                </c:pt>
                <c:pt idx="2">
                  <c:v>0.0391356158023077</c:v>
                </c:pt>
                <c:pt idx="3">
                  <c:v>0.0367114776547021</c:v>
                </c:pt>
                <c:pt idx="4">
                  <c:v>0.0399732593409551</c:v>
                </c:pt>
                <c:pt idx="5">
                  <c:v>0.0362251668659803</c:v>
                </c:pt>
                <c:pt idx="6">
                  <c:v>0.0334349497960956</c:v>
                </c:pt>
                <c:pt idx="7">
                  <c:v>0.039861292499762</c:v>
                </c:pt>
                <c:pt idx="8">
                  <c:v>0.0431625243981783</c:v>
                </c:pt>
                <c:pt idx="9">
                  <c:v>0.0470550546978515</c:v>
                </c:pt>
                <c:pt idx="10">
                  <c:v>0.0487280394794086</c:v>
                </c:pt>
                <c:pt idx="11">
                  <c:v>0.0610417732228813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446488"/>
        <c:axId val="66544263"/>
      </c:lineChart>
      <c:catAx>
        <c:axId val="944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544263"/>
        <c:crosses val="autoZero"/>
        <c:auto val="1"/>
        <c:lblAlgn val="ctr"/>
        <c:lblOffset val="100"/>
        <c:noMultiLvlLbl val="0"/>
      </c:catAx>
      <c:valAx>
        <c:axId val="665442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464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130680</xdr:rowOff>
    </xdr:from>
    <xdr:to>
      <xdr:col>3</xdr:col>
      <xdr:colOff>409680</xdr:colOff>
      <xdr:row>38</xdr:row>
      <xdr:rowOff>153000</xdr:rowOff>
    </xdr:to>
    <xdr:graphicFrame>
      <xdr:nvGraphicFramePr>
        <xdr:cNvPr id="0" name="Chart 1"/>
        <xdr:cNvGraphicFramePr/>
      </xdr:nvGraphicFramePr>
      <xdr:xfrm>
        <a:off x="0" y="465768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23</xdr:row>
      <xdr:rowOff>130680</xdr:rowOff>
    </xdr:from>
    <xdr:to>
      <xdr:col>12</xdr:col>
      <xdr:colOff>443520</xdr:colOff>
      <xdr:row>38</xdr:row>
      <xdr:rowOff>153000</xdr:rowOff>
    </xdr:to>
    <xdr:graphicFrame>
      <xdr:nvGraphicFramePr>
        <xdr:cNvPr id="1" name="Chart 2"/>
        <xdr:cNvGraphicFramePr/>
      </xdr:nvGraphicFramePr>
      <xdr:xfrm>
        <a:off x="7331760" y="465768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/>
      <c r="B5" s="5" t="s">
        <v>3</v>
      </c>
    </row>
    <row r="6" customFormat="false" ht="30" hidden="false" customHeight="true" outlineLevel="0" collapsed="false">
      <c r="A6" s="4"/>
      <c r="B6" s="5" t="s">
        <v>4</v>
      </c>
    </row>
    <row r="7" customFormat="false" ht="18" hidden="false" customHeight="true" outlineLevel="0" collapsed="false">
      <c r="A7" s="3" t="s">
        <v>5</v>
      </c>
    </row>
    <row r="8" customFormat="false" ht="30" hidden="false" customHeight="true" outlineLevel="0" collapsed="false">
      <c r="A8" s="4" t="s">
        <v>6</v>
      </c>
      <c r="B8" s="5" t="s">
        <v>7</v>
      </c>
    </row>
    <row r="9" customFormat="false" ht="30" hidden="false" customHeight="true" outlineLevel="0" collapsed="false">
      <c r="A9" s="4" t="s">
        <v>8</v>
      </c>
      <c r="B9" s="5" t="s">
        <v>9</v>
      </c>
    </row>
    <row r="10" customFormat="false" ht="18" hidden="false" customHeight="true" outlineLevel="0" collapsed="false">
      <c r="A10" s="4" t="s">
        <v>10</v>
      </c>
      <c r="B10" s="5" t="s">
        <v>11</v>
      </c>
    </row>
    <row r="11" customFormat="false" ht="18" hidden="false" customHeight="true" outlineLevel="0" collapsed="false">
      <c r="A11" s="4" t="s">
        <v>12</v>
      </c>
      <c r="B11" s="5" t="s">
        <v>13</v>
      </c>
    </row>
    <row r="12" customFormat="false" ht="30" hidden="false" customHeight="true" outlineLevel="0" collapsed="false">
      <c r="A12" s="4" t="s">
        <v>14</v>
      </c>
      <c r="B12" s="5" t="s">
        <v>15</v>
      </c>
    </row>
    <row r="13" customFormat="false" ht="18" hidden="false" customHeight="true" outlineLevel="0" collapsed="false">
      <c r="A13" s="3" t="s">
        <v>16</v>
      </c>
    </row>
    <row r="14" customFormat="false" ht="18" hidden="false" customHeight="true" outlineLevel="0" collapsed="false">
      <c r="A14" s="6" t="s">
        <v>17</v>
      </c>
      <c r="B14" s="5" t="s">
        <v>18</v>
      </c>
    </row>
    <row r="15" customFormat="false" ht="18" hidden="false" customHeight="true" outlineLevel="0" collapsed="false">
      <c r="A15" s="4" t="s">
        <v>19</v>
      </c>
      <c r="B15" s="5" t="s">
        <v>20</v>
      </c>
    </row>
    <row r="16" customFormat="false" ht="18" hidden="false" customHeight="true" outlineLevel="0" collapsed="false">
      <c r="A16" s="7" t="s">
        <v>21</v>
      </c>
      <c r="B16" s="5" t="s">
        <v>22</v>
      </c>
    </row>
    <row r="17" customFormat="false" ht="18" hidden="false" customHeight="true" outlineLevel="0" collapsed="false">
      <c r="A17" s="3" t="s">
        <v>23</v>
      </c>
    </row>
    <row r="18" customFormat="false" ht="30" hidden="false" customHeight="true" outlineLevel="0" collapsed="false">
      <c r="A18" s="4"/>
      <c r="B18" s="5" t="s">
        <v>24</v>
      </c>
    </row>
    <row r="19" customFormat="false" ht="30" hidden="false" customHeight="true" outlineLevel="0" collapsed="false">
      <c r="A19" s="4"/>
      <c r="B19" s="5" t="s">
        <v>25</v>
      </c>
    </row>
    <row r="20" customFormat="false" ht="30" hidden="false" customHeight="true" outlineLevel="0" collapsed="false">
      <c r="A20" s="4"/>
      <c r="B20" s="5" t="s">
        <v>26</v>
      </c>
    </row>
    <row r="21" customFormat="false" ht="18" hidden="false" customHeight="true" outlineLevel="0" collapsed="false">
      <c r="A21" s="4" t="s">
        <v>27</v>
      </c>
      <c r="B21" s="5" t="s">
        <v>28</v>
      </c>
    </row>
    <row r="23" customFormat="false" ht="15" hidden="false" customHeight="false" outlineLevel="0" collapsed="false">
      <c r="A23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0"/>
    <col collapsed="false" customWidth="true" hidden="false" outlineLevel="0" max="3" min="3" style="0" width="32"/>
    <col collapsed="false" customWidth="true" hidden="false" outlineLevel="0" max="5" min="4" style="0" width="3"/>
    <col collapsed="false" customWidth="true" hidden="false" outlineLevel="0" max="6" min="6" style="0" width="32"/>
    <col collapsed="false" customWidth="true" hidden="false" outlineLevel="0" max="7" min="7" style="0" width="26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21.75" hidden="false" customHeight="true" outlineLevel="0" collapsed="false">
      <c r="A4" s="9" t="s">
        <v>32</v>
      </c>
      <c r="B4" s="10" t="s">
        <v>33</v>
      </c>
      <c r="C4" s="10" t="s">
        <v>34</v>
      </c>
      <c r="F4" s="9" t="s">
        <v>34</v>
      </c>
      <c r="G4" s="10" t="s">
        <v>35</v>
      </c>
    </row>
    <row r="5" customFormat="false" ht="15" hidden="false" customHeight="false" outlineLevel="0" collapsed="false">
      <c r="A5" s="11" t="s">
        <v>36</v>
      </c>
      <c r="B5" s="11" t="s">
        <v>37</v>
      </c>
      <c r="C5" s="11" t="s">
        <v>38</v>
      </c>
      <c r="F5" s="12" t="s">
        <v>38</v>
      </c>
      <c r="G5" s="13" t="s">
        <v>39</v>
      </c>
    </row>
    <row r="6" customFormat="false" ht="15" hidden="false" customHeight="false" outlineLevel="0" collapsed="false">
      <c r="A6" s="11" t="s">
        <v>40</v>
      </c>
      <c r="B6" s="11" t="s">
        <v>41</v>
      </c>
      <c r="C6" s="11" t="s">
        <v>42</v>
      </c>
      <c r="F6" s="12" t="s">
        <v>42</v>
      </c>
      <c r="G6" s="13" t="s">
        <v>39</v>
      </c>
    </row>
    <row r="7" customFormat="false" ht="15" hidden="false" customHeight="false" outlineLevel="0" collapsed="false">
      <c r="A7" s="11" t="s">
        <v>43</v>
      </c>
      <c r="B7" s="11" t="s">
        <v>44</v>
      </c>
      <c r="C7" s="11" t="s">
        <v>45</v>
      </c>
      <c r="F7" s="12" t="s">
        <v>45</v>
      </c>
      <c r="G7" s="13" t="s">
        <v>39</v>
      </c>
    </row>
    <row r="8" customFormat="false" ht="15" hidden="false" customHeight="false" outlineLevel="0" collapsed="false">
      <c r="A8" s="11" t="s">
        <v>46</v>
      </c>
      <c r="B8" s="11" t="s">
        <v>47</v>
      </c>
      <c r="C8" s="11" t="s">
        <v>48</v>
      </c>
      <c r="F8" s="12" t="s">
        <v>48</v>
      </c>
      <c r="G8" s="13" t="s">
        <v>49</v>
      </c>
    </row>
    <row r="9" customFormat="false" ht="15" hidden="false" customHeight="false" outlineLevel="0" collapsed="false">
      <c r="A9" s="11" t="s">
        <v>50</v>
      </c>
      <c r="B9" s="11" t="s">
        <v>51</v>
      </c>
      <c r="C9" s="11" t="s">
        <v>48</v>
      </c>
      <c r="F9" s="12" t="s">
        <v>52</v>
      </c>
      <c r="G9" s="13" t="s">
        <v>49</v>
      </c>
    </row>
    <row r="10" customFormat="false" ht="15" hidden="false" customHeight="false" outlineLevel="0" collapsed="false">
      <c r="A10" s="11" t="s">
        <v>53</v>
      </c>
      <c r="B10" s="11" t="s">
        <v>54</v>
      </c>
      <c r="C10" s="11" t="s">
        <v>48</v>
      </c>
      <c r="F10" s="12" t="s">
        <v>55</v>
      </c>
      <c r="G10" s="13" t="s">
        <v>56</v>
      </c>
    </row>
    <row r="11" customFormat="false" ht="15" hidden="false" customHeight="false" outlineLevel="0" collapsed="false">
      <c r="A11" s="11" t="s">
        <v>57</v>
      </c>
      <c r="B11" s="11" t="s">
        <v>58</v>
      </c>
      <c r="C11" s="11" t="s">
        <v>52</v>
      </c>
      <c r="F11" s="12" t="s">
        <v>59</v>
      </c>
      <c r="G11" s="13" t="s">
        <v>56</v>
      </c>
    </row>
    <row r="12" customFormat="false" ht="15" hidden="false" customHeight="false" outlineLevel="0" collapsed="false">
      <c r="A12" s="11" t="s">
        <v>60</v>
      </c>
      <c r="B12" s="11" t="s">
        <v>61</v>
      </c>
      <c r="C12" s="11" t="s">
        <v>55</v>
      </c>
      <c r="F12" s="12" t="s">
        <v>62</v>
      </c>
      <c r="G12" s="13" t="s">
        <v>56</v>
      </c>
    </row>
    <row r="13" customFormat="false" ht="15" hidden="false" customHeight="false" outlineLevel="0" collapsed="false">
      <c r="A13" s="11" t="s">
        <v>63</v>
      </c>
      <c r="B13" s="11" t="s">
        <v>64</v>
      </c>
      <c r="C13" s="11" t="s">
        <v>55</v>
      </c>
      <c r="F13" s="12" t="s">
        <v>65</v>
      </c>
      <c r="G13" s="13" t="s">
        <v>66</v>
      </c>
    </row>
    <row r="14" customFormat="false" ht="15" hidden="false" customHeight="false" outlineLevel="0" collapsed="false">
      <c r="A14" s="11" t="s">
        <v>67</v>
      </c>
      <c r="B14" s="11" t="s">
        <v>68</v>
      </c>
      <c r="C14" s="11" t="s">
        <v>59</v>
      </c>
      <c r="F14" s="12" t="s">
        <v>69</v>
      </c>
      <c r="G14" s="13" t="s">
        <v>66</v>
      </c>
    </row>
    <row r="15" customFormat="false" ht="15" hidden="false" customHeight="false" outlineLevel="0" collapsed="false">
      <c r="A15" s="11" t="s">
        <v>70</v>
      </c>
      <c r="B15" s="11" t="s">
        <v>62</v>
      </c>
      <c r="C15" s="11" t="s">
        <v>62</v>
      </c>
      <c r="F15" s="12" t="s">
        <v>71</v>
      </c>
      <c r="G15" s="13" t="s">
        <v>66</v>
      </c>
    </row>
    <row r="16" customFormat="false" ht="15" hidden="false" customHeight="false" outlineLevel="0" collapsed="false">
      <c r="A16" s="11" t="s">
        <v>72</v>
      </c>
      <c r="B16" s="11" t="s">
        <v>73</v>
      </c>
      <c r="C16" s="11" t="s">
        <v>65</v>
      </c>
      <c r="F16" s="12" t="s">
        <v>74</v>
      </c>
      <c r="G16" s="13" t="s">
        <v>66</v>
      </c>
    </row>
    <row r="17" customFormat="false" ht="15" hidden="false" customHeight="false" outlineLevel="0" collapsed="false">
      <c r="A17" s="11" t="s">
        <v>75</v>
      </c>
      <c r="B17" s="11" t="s">
        <v>76</v>
      </c>
      <c r="C17" s="11" t="s">
        <v>65</v>
      </c>
      <c r="F17" s="12" t="s">
        <v>77</v>
      </c>
      <c r="G17" s="13" t="s">
        <v>66</v>
      </c>
    </row>
    <row r="18" customFormat="false" ht="15" hidden="false" customHeight="false" outlineLevel="0" collapsed="false">
      <c r="A18" s="11" t="s">
        <v>78</v>
      </c>
      <c r="B18" s="11" t="s">
        <v>79</v>
      </c>
      <c r="C18" s="11" t="s">
        <v>69</v>
      </c>
      <c r="F18" s="12" t="s">
        <v>80</v>
      </c>
      <c r="G18" s="13" t="s">
        <v>80</v>
      </c>
    </row>
    <row r="19" customFormat="false" ht="15" hidden="false" customHeight="false" outlineLevel="0" collapsed="false">
      <c r="A19" s="11" t="s">
        <v>81</v>
      </c>
      <c r="B19" s="11" t="s">
        <v>82</v>
      </c>
      <c r="C19" s="11" t="s">
        <v>69</v>
      </c>
      <c r="F19" s="12" t="s">
        <v>83</v>
      </c>
      <c r="G19" s="13" t="s">
        <v>84</v>
      </c>
    </row>
    <row r="20" customFormat="false" ht="15" hidden="false" customHeight="false" outlineLevel="0" collapsed="false">
      <c r="A20" s="11" t="s">
        <v>85</v>
      </c>
      <c r="B20" s="11" t="s">
        <v>86</v>
      </c>
      <c r="C20" s="11" t="s">
        <v>71</v>
      </c>
      <c r="F20" s="12" t="s">
        <v>87</v>
      </c>
      <c r="G20" s="13" t="s">
        <v>84</v>
      </c>
    </row>
    <row r="21" customFormat="false" ht="15" hidden="false" customHeight="false" outlineLevel="0" collapsed="false">
      <c r="A21" s="11" t="s">
        <v>88</v>
      </c>
      <c r="B21" s="11" t="s">
        <v>89</v>
      </c>
      <c r="C21" s="11" t="s">
        <v>71</v>
      </c>
      <c r="F21" s="12" t="s">
        <v>90</v>
      </c>
      <c r="G21" s="13" t="s">
        <v>90</v>
      </c>
    </row>
    <row r="22" customFormat="false" ht="15" hidden="false" customHeight="false" outlineLevel="0" collapsed="false">
      <c r="A22" s="11" t="s">
        <v>91</v>
      </c>
      <c r="B22" s="11" t="s">
        <v>92</v>
      </c>
      <c r="C22" s="11" t="s">
        <v>74</v>
      </c>
    </row>
    <row r="23" customFormat="false" ht="15" hidden="false" customHeight="false" outlineLevel="0" collapsed="false">
      <c r="A23" s="11" t="s">
        <v>93</v>
      </c>
      <c r="B23" s="11" t="s">
        <v>94</v>
      </c>
      <c r="C23" s="11" t="s">
        <v>74</v>
      </c>
    </row>
    <row r="24" customFormat="false" ht="15" hidden="false" customHeight="false" outlineLevel="0" collapsed="false">
      <c r="A24" s="11" t="s">
        <v>95</v>
      </c>
      <c r="B24" s="11" t="s">
        <v>96</v>
      </c>
      <c r="C24" s="11" t="s">
        <v>77</v>
      </c>
    </row>
    <row r="25" customFormat="false" ht="15" hidden="false" customHeight="false" outlineLevel="0" collapsed="false">
      <c r="A25" s="11" t="s">
        <v>97</v>
      </c>
      <c r="B25" s="11" t="s">
        <v>98</v>
      </c>
      <c r="C25" s="11" t="s">
        <v>77</v>
      </c>
    </row>
    <row r="26" customFormat="false" ht="15" hidden="false" customHeight="false" outlineLevel="0" collapsed="false">
      <c r="A26" s="11" t="s">
        <v>99</v>
      </c>
      <c r="B26" s="11" t="s">
        <v>100</v>
      </c>
      <c r="C26" s="11" t="s">
        <v>80</v>
      </c>
    </row>
    <row r="27" customFormat="false" ht="15" hidden="false" customHeight="false" outlineLevel="0" collapsed="false">
      <c r="A27" s="11" t="s">
        <v>101</v>
      </c>
      <c r="B27" s="11" t="s">
        <v>102</v>
      </c>
      <c r="C27" s="11" t="s">
        <v>80</v>
      </c>
    </row>
    <row r="28" customFormat="false" ht="15" hidden="false" customHeight="false" outlineLevel="0" collapsed="false">
      <c r="A28" s="11" t="s">
        <v>103</v>
      </c>
      <c r="B28" s="11" t="s">
        <v>104</v>
      </c>
      <c r="C28" s="11" t="s">
        <v>83</v>
      </c>
    </row>
    <row r="29" customFormat="false" ht="15" hidden="false" customHeight="false" outlineLevel="0" collapsed="false">
      <c r="A29" s="11" t="s">
        <v>105</v>
      </c>
      <c r="B29" s="11" t="s">
        <v>106</v>
      </c>
      <c r="C29" s="11" t="s">
        <v>87</v>
      </c>
    </row>
    <row r="30" customFormat="false" ht="15" hidden="false" customHeight="false" outlineLevel="0" collapsed="false">
      <c r="A30" s="11" t="s">
        <v>107</v>
      </c>
      <c r="B30" s="11" t="s">
        <v>108</v>
      </c>
      <c r="C30" s="11" t="s">
        <v>87</v>
      </c>
    </row>
    <row r="31" customFormat="false" ht="15" hidden="false" customHeight="false" outlineLevel="0" collapsed="false">
      <c r="A31" s="11" t="s">
        <v>109</v>
      </c>
      <c r="B31" s="11" t="s">
        <v>110</v>
      </c>
      <c r="C31" s="11" t="s">
        <v>90</v>
      </c>
    </row>
    <row r="32" customFormat="false" ht="15" hidden="false" customHeight="false" outlineLevel="0" collapsed="false">
      <c r="A32" s="11"/>
      <c r="B32" s="11"/>
      <c r="C32" s="11"/>
    </row>
    <row r="33" customFormat="false" ht="15" hidden="false" customHeight="false" outlineLevel="0" collapsed="false">
      <c r="A33" s="11"/>
      <c r="B33" s="11"/>
      <c r="C33" s="11"/>
    </row>
    <row r="34" customFormat="false" ht="15" hidden="false" customHeight="false" outlineLevel="0" collapsed="false">
      <c r="A34" s="11"/>
      <c r="B34" s="11"/>
      <c r="C34" s="11"/>
    </row>
    <row r="35" customFormat="false" ht="15" hidden="false" customHeight="false" outlineLevel="0" collapsed="false">
      <c r="A35" s="11"/>
      <c r="B35" s="11"/>
      <c r="C35" s="11"/>
    </row>
    <row r="36" customFormat="false" ht="15" hidden="false" customHeight="false" outlineLevel="0" collapsed="false">
      <c r="A36" s="11"/>
      <c r="B36" s="11"/>
      <c r="C36" s="11"/>
    </row>
    <row r="37" customFormat="false" ht="15" hidden="false" customHeight="false" outlineLevel="0" collapsed="false">
      <c r="A37" s="11"/>
      <c r="B37" s="11"/>
      <c r="C37" s="11"/>
    </row>
    <row r="38" customFormat="false" ht="15" hidden="false" customHeight="false" outlineLevel="0" collapsed="false">
      <c r="A38" s="11"/>
      <c r="B38" s="11"/>
      <c r="C38" s="11"/>
    </row>
    <row r="39" customFormat="false" ht="15" hidden="false" customHeight="false" outlineLevel="0" collapsed="false">
      <c r="A39" s="11"/>
      <c r="B39" s="11"/>
      <c r="C39" s="11"/>
    </row>
    <row r="40" customFormat="false" ht="15" hidden="false" customHeight="false" outlineLevel="0" collapsed="false">
      <c r="A40" s="11"/>
      <c r="B40" s="11"/>
      <c r="C40" s="11"/>
    </row>
    <row r="41" customFormat="false" ht="15" hidden="false" customHeight="false" outlineLevel="0" collapsed="false">
      <c r="A41" s="11"/>
      <c r="B41" s="11"/>
      <c r="C41" s="11"/>
    </row>
    <row r="42" customFormat="false" ht="15" hidden="false" customHeight="false" outlineLevel="0" collapsed="false">
      <c r="A42" s="11"/>
      <c r="B42" s="11"/>
      <c r="C42" s="11"/>
    </row>
    <row r="43" customFormat="false" ht="15" hidden="false" customHeight="false" outlineLevel="0" collapsed="false">
      <c r="A43" s="11"/>
      <c r="B43" s="11"/>
      <c r="C43" s="11"/>
    </row>
    <row r="44" customFormat="false" ht="15" hidden="false" customHeight="false" outlineLevel="0" collapsed="false">
      <c r="A44" s="11"/>
      <c r="B44" s="11"/>
      <c r="C44" s="11"/>
    </row>
    <row r="45" customFormat="false" ht="15" hidden="false" customHeight="false" outlineLevel="0" collapsed="false">
      <c r="A45" s="11"/>
      <c r="B45" s="11"/>
      <c r="C45" s="11"/>
    </row>
    <row r="46" customFormat="false" ht="15" hidden="false" customHeight="false" outlineLevel="0" collapsed="false">
      <c r="A46" s="11"/>
      <c r="B46" s="11"/>
      <c r="C46" s="11"/>
    </row>
    <row r="47" customFormat="false" ht="15" hidden="false" customHeight="false" outlineLevel="0" collapsed="false">
      <c r="A47" s="11"/>
      <c r="B47" s="11"/>
      <c r="C47" s="11"/>
    </row>
    <row r="48" customFormat="false" ht="15" hidden="false" customHeight="false" outlineLevel="0" collapsed="false">
      <c r="A48" s="11"/>
      <c r="B48" s="11"/>
      <c r="C48" s="11"/>
    </row>
    <row r="49" customFormat="false" ht="15" hidden="false" customHeight="false" outlineLevel="0" collapsed="false">
      <c r="A49" s="11"/>
      <c r="B49" s="11"/>
      <c r="C49" s="11"/>
    </row>
    <row r="50" customFormat="false" ht="15" hidden="false" customHeight="false" outlineLevel="0" collapsed="false">
      <c r="A50" s="11"/>
      <c r="B50" s="11"/>
      <c r="C50" s="11"/>
    </row>
    <row r="51" customFormat="false" ht="15" hidden="false" customHeight="false" outlineLevel="0" collapsed="false">
      <c r="A51" s="11"/>
      <c r="B51" s="11"/>
      <c r="C51" s="11"/>
    </row>
    <row r="52" customFormat="false" ht="15" hidden="false" customHeight="false" outlineLevel="0" collapsed="false">
      <c r="A52" s="11"/>
      <c r="B52" s="11"/>
      <c r="C52" s="11"/>
    </row>
    <row r="53" customFormat="false" ht="15" hidden="false" customHeight="false" outlineLevel="0" collapsed="false">
      <c r="A53" s="11"/>
      <c r="B53" s="11"/>
      <c r="C53" s="11"/>
    </row>
    <row r="54" customFormat="false" ht="15" hidden="false" customHeight="false" outlineLevel="0" collapsed="false">
      <c r="A54" s="11"/>
      <c r="B54" s="11"/>
      <c r="C54" s="11"/>
    </row>
    <row r="55" customFormat="false" ht="15" hidden="false" customHeight="false" outlineLevel="0" collapsed="false">
      <c r="A55" s="11"/>
      <c r="B55" s="11"/>
      <c r="C55" s="11"/>
    </row>
    <row r="56" customFormat="false" ht="15" hidden="false" customHeight="false" outlineLevel="0" collapsed="false">
      <c r="A56" s="11"/>
      <c r="B56" s="11"/>
      <c r="C56" s="11"/>
    </row>
    <row r="57" customFormat="false" ht="15" hidden="false" customHeight="false" outlineLevel="0" collapsed="false">
      <c r="A57" s="11"/>
      <c r="B57" s="11"/>
      <c r="C57" s="11"/>
    </row>
    <row r="58" customFormat="false" ht="15" hidden="false" customHeight="false" outlineLevel="0" collapsed="false">
      <c r="A58" s="11"/>
      <c r="B58" s="11"/>
      <c r="C58" s="11"/>
    </row>
    <row r="59" customFormat="false" ht="15" hidden="false" customHeight="false" outlineLevel="0" collapsed="false">
      <c r="A59" s="11"/>
      <c r="B59" s="11"/>
      <c r="C59" s="11"/>
    </row>
    <row r="60" customFormat="false" ht="15" hidden="false" customHeight="false" outlineLevel="0" collapsed="false">
      <c r="A60" s="11"/>
      <c r="B60" s="11"/>
      <c r="C60" s="11"/>
    </row>
    <row r="61" customFormat="false" ht="15" hidden="false" customHeight="false" outlineLevel="0" collapsed="false">
      <c r="A61" s="11"/>
      <c r="B61" s="11"/>
      <c r="C61" s="11"/>
    </row>
    <row r="62" customFormat="false" ht="15" hidden="false" customHeight="false" outlineLevel="0" collapsed="false">
      <c r="A62" s="11"/>
      <c r="B62" s="11"/>
      <c r="C62" s="11"/>
    </row>
    <row r="63" customFormat="false" ht="15" hidden="false" customHeight="false" outlineLevel="0" collapsed="false">
      <c r="A63" s="11"/>
      <c r="B63" s="11"/>
      <c r="C63" s="11"/>
    </row>
    <row r="64" customFormat="false" ht="15" hidden="false" customHeight="false" outlineLevel="0" collapsed="false">
      <c r="A64" s="11"/>
      <c r="B64" s="11"/>
      <c r="C64" s="11"/>
    </row>
    <row r="66" customFormat="false" ht="15" hidden="false" customHeight="false" outlineLevel="0" collapsed="false">
      <c r="A66" s="8" t="s">
        <v>29</v>
      </c>
    </row>
  </sheetData>
  <dataValidations count="1">
    <dataValidation allowBlank="true" error="Escolha uma linha gerencial da lista (coluna F)." errorStyle="stop" errorTitle="Linha gerencial" operator="between" showDropDown="false" showErrorMessage="false" showInputMessage="false" sqref="C5:C64" type="list">
      <formula1>$F$5:$F$21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3" min="3" style="0" width="28"/>
    <col collapsed="false" customWidth="true" hidden="false" outlineLevel="0" max="15" min="4" style="0" width="12.5"/>
    <col collapsed="false" customWidth="true" hidden="false" outlineLevel="0" max="16" min="16" style="0" width="14"/>
  </cols>
  <sheetData>
    <row r="1" customFormat="false" ht="19.7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112</v>
      </c>
    </row>
    <row r="3" customFormat="false" ht="15" hidden="false" customHeight="false" outlineLevel="0" collapsed="false">
      <c r="A3" s="14" t="s">
        <v>113</v>
      </c>
      <c r="C3" s="15" t="n">
        <f aca="false">SUMPRODUCT((A6:A85&lt;&gt;"")*(C6:C85="Sem de-para"))</f>
        <v>0</v>
      </c>
      <c r="D3" s="15" t="str">
        <f aca="false">IF(C3=0,"Tudo mapeado","Corrija no Plano")</f>
        <v>Tudo mapeado</v>
      </c>
    </row>
    <row r="5" customFormat="false" ht="21.75" hidden="false" customHeight="true" outlineLevel="0" collapsed="false">
      <c r="A5" s="9" t="s">
        <v>32</v>
      </c>
      <c r="B5" s="10" t="s">
        <v>33</v>
      </c>
      <c r="C5" s="10" t="s">
        <v>34</v>
      </c>
      <c r="D5" s="10" t="s">
        <v>114</v>
      </c>
      <c r="E5" s="10" t="s">
        <v>115</v>
      </c>
      <c r="F5" s="10" t="s">
        <v>116</v>
      </c>
      <c r="G5" s="10" t="s">
        <v>117</v>
      </c>
      <c r="H5" s="10" t="s">
        <v>118</v>
      </c>
      <c r="I5" s="10" t="s">
        <v>119</v>
      </c>
      <c r="J5" s="10" t="s">
        <v>120</v>
      </c>
      <c r="K5" s="10" t="s">
        <v>121</v>
      </c>
      <c r="L5" s="10" t="s">
        <v>122</v>
      </c>
      <c r="M5" s="10" t="s">
        <v>123</v>
      </c>
      <c r="N5" s="10" t="s">
        <v>124</v>
      </c>
      <c r="O5" s="10" t="s">
        <v>125</v>
      </c>
      <c r="P5" s="10" t="s">
        <v>126</v>
      </c>
    </row>
    <row r="6" customFormat="false" ht="15" hidden="false" customHeight="false" outlineLevel="0" collapsed="false">
      <c r="A6" s="11" t="s">
        <v>36</v>
      </c>
      <c r="B6" s="12" t="str">
        <f aca="false">IF(A6="","",IFERROR(INDEX(Plano!$B$5:$B$64,MATCH(A6,Plano!$A$5:$A$64,0)),"Conta não cadastrada"))</f>
        <v>Venda de produtos</v>
      </c>
      <c r="C6" s="12" t="str">
        <f aca="false">IF(A6="","",IFERROR(IF(INDEX(Plano!$C$5:$C$64,MATCH(A6,Plano!$A$5:$A$64,0))="","Sem de-para",INDEX(Plano!$C$5:$C$64,MATCH(A6,Plano!$A$5:$A$64,0))),"Sem de-para"))</f>
        <v>Receita de produtos</v>
      </c>
      <c r="D6" s="16" t="n">
        <v>686400</v>
      </c>
      <c r="E6" s="16" t="n">
        <v>702000</v>
      </c>
      <c r="F6" s="16" t="n">
        <v>780000</v>
      </c>
      <c r="G6" s="16" t="n">
        <v>756600</v>
      </c>
      <c r="H6" s="16" t="n">
        <v>795600</v>
      </c>
      <c r="I6" s="16" t="n">
        <v>764400</v>
      </c>
      <c r="J6" s="16" t="n">
        <v>741000</v>
      </c>
      <c r="K6" s="16" t="n">
        <v>780000</v>
      </c>
      <c r="L6" s="16" t="n">
        <v>803400</v>
      </c>
      <c r="M6" s="16" t="n">
        <v>826800</v>
      </c>
      <c r="N6" s="16" t="n">
        <v>842400</v>
      </c>
      <c r="O6" s="16" t="n">
        <v>881400</v>
      </c>
      <c r="P6" s="17" t="n">
        <f aca="false">IF(A6="","",SUM(D6:O6))</f>
        <v>9360000</v>
      </c>
    </row>
    <row r="7" customFormat="false" ht="15" hidden="false" customHeight="false" outlineLevel="0" collapsed="false">
      <c r="A7" s="11" t="s">
        <v>40</v>
      </c>
      <c r="B7" s="12" t="str">
        <f aca="false">IF(A7="","",IFERROR(INDEX(Plano!$B$5:$B$64,MATCH(A7,Plano!$A$5:$A$64,0)),"Conta não cadastrada"))</f>
        <v>Serviços de instalação e projeto</v>
      </c>
      <c r="C7" s="12" t="str">
        <f aca="false">IF(A7="","",IFERROR(IF(INDEX(Plano!$C$5:$C$64,MATCH(A7,Plano!$A$5:$A$64,0))="","Sem de-para",INDEX(Plano!$C$5:$C$64,MATCH(A7,Plano!$A$5:$A$64,0))),"Sem de-para"))</f>
        <v>Receita de serviços</v>
      </c>
      <c r="D7" s="16" t="n">
        <v>184800</v>
      </c>
      <c r="E7" s="16" t="n">
        <v>189000</v>
      </c>
      <c r="F7" s="16" t="n">
        <v>210000</v>
      </c>
      <c r="G7" s="16" t="n">
        <v>203700</v>
      </c>
      <c r="H7" s="16" t="n">
        <v>214200</v>
      </c>
      <c r="I7" s="16" t="n">
        <v>205800</v>
      </c>
      <c r="J7" s="16" t="n">
        <v>199500</v>
      </c>
      <c r="K7" s="16" t="n">
        <v>210000</v>
      </c>
      <c r="L7" s="16" t="n">
        <v>216300</v>
      </c>
      <c r="M7" s="16" t="n">
        <v>222600</v>
      </c>
      <c r="N7" s="16" t="n">
        <v>226800</v>
      </c>
      <c r="O7" s="16" t="n">
        <v>237300</v>
      </c>
      <c r="P7" s="17" t="n">
        <f aca="false">IF(A7="","",SUM(D7:O7))</f>
        <v>2520000</v>
      </c>
    </row>
    <row r="8" customFormat="false" ht="15" hidden="false" customHeight="false" outlineLevel="0" collapsed="false">
      <c r="A8" s="11" t="s">
        <v>43</v>
      </c>
      <c r="B8" s="12" t="str">
        <f aca="false">IF(A8="","",IFERROR(INDEX(Plano!$B$5:$B$64,MATCH(A8,Plano!$A$5:$A$64,0)),"Conta não cadastrada"))</f>
        <v>Contratos de manutenção</v>
      </c>
      <c r="C8" s="12" t="str">
        <f aca="false">IF(A8="","",IFERROR(IF(INDEX(Plano!$C$5:$C$64,MATCH(A8,Plano!$A$5:$A$64,0))="","Sem de-para",INDEX(Plano!$C$5:$C$64,MATCH(A8,Plano!$A$5:$A$64,0))),"Sem de-para"))</f>
        <v>Receita recorrente (contratos)</v>
      </c>
      <c r="D8" s="16" t="n">
        <v>160000</v>
      </c>
      <c r="E8" s="16" t="n">
        <v>162400</v>
      </c>
      <c r="F8" s="16" t="n">
        <v>164800</v>
      </c>
      <c r="G8" s="16" t="n">
        <v>167300</v>
      </c>
      <c r="H8" s="16" t="n">
        <v>169800</v>
      </c>
      <c r="I8" s="16" t="n">
        <v>172400</v>
      </c>
      <c r="J8" s="16" t="n">
        <v>175000</v>
      </c>
      <c r="K8" s="16" t="n">
        <v>177600</v>
      </c>
      <c r="L8" s="16" t="n">
        <v>180200</v>
      </c>
      <c r="M8" s="16" t="n">
        <v>182900</v>
      </c>
      <c r="N8" s="16" t="n">
        <v>185700</v>
      </c>
      <c r="O8" s="16" t="n">
        <v>188500</v>
      </c>
      <c r="P8" s="17" t="n">
        <f aca="false">IF(A8="","",SUM(D8:O8))</f>
        <v>2086600</v>
      </c>
    </row>
    <row r="9" customFormat="false" ht="15" hidden="false" customHeight="false" outlineLevel="0" collapsed="false">
      <c r="A9" s="11" t="s">
        <v>46</v>
      </c>
      <c r="B9" s="12" t="str">
        <f aca="false">IF(A9="","",IFERROR(INDEX(Plano!$B$5:$B$64,MATCH(A9,Plano!$A$5:$A$64,0)),"Conta não cadastrada"))</f>
        <v>ICMS sobre vendas</v>
      </c>
      <c r="C9" s="12" t="str">
        <f aca="false">IF(A9="","",IFERROR(IF(INDEX(Plano!$C$5:$C$64,MATCH(A9,Plano!$A$5:$A$64,0))="","Sem de-para",INDEX(Plano!$C$5:$C$64,MATCH(A9,Plano!$A$5:$A$64,0))),"Sem de-para"))</f>
        <v>Impostos sobre vendas</v>
      </c>
      <c r="D9" s="16" t="n">
        <v>82368</v>
      </c>
      <c r="E9" s="16" t="n">
        <v>84240</v>
      </c>
      <c r="F9" s="16" t="n">
        <v>93600</v>
      </c>
      <c r="G9" s="16" t="n">
        <v>90792</v>
      </c>
      <c r="H9" s="16" t="n">
        <v>95472</v>
      </c>
      <c r="I9" s="16" t="n">
        <v>91728</v>
      </c>
      <c r="J9" s="16" t="n">
        <v>88920</v>
      </c>
      <c r="K9" s="16" t="n">
        <v>93600</v>
      </c>
      <c r="L9" s="16" t="n">
        <v>96408</v>
      </c>
      <c r="M9" s="16" t="n">
        <v>99216</v>
      </c>
      <c r="N9" s="16" t="n">
        <v>101088</v>
      </c>
      <c r="O9" s="16" t="n">
        <v>105768</v>
      </c>
      <c r="P9" s="17" t="n">
        <f aca="false">IF(A9="","",SUM(D9:O9))</f>
        <v>1123200</v>
      </c>
    </row>
    <row r="10" customFormat="false" ht="15" hidden="false" customHeight="false" outlineLevel="0" collapsed="false">
      <c r="A10" s="11" t="s">
        <v>50</v>
      </c>
      <c r="B10" s="12" t="str">
        <f aca="false">IF(A10="","",IFERROR(INDEX(Plano!$B$5:$B$64,MATCH(A10,Plano!$A$5:$A$64,0)),"Conta não cadastrada"))</f>
        <v>PIS e COFINS sobre vendas</v>
      </c>
      <c r="C10" s="12" t="str">
        <f aca="false">IF(A10="","",IFERROR(IF(INDEX(Plano!$C$5:$C$64,MATCH(A10,Plano!$A$5:$A$64,0))="","Sem de-para",INDEX(Plano!$C$5:$C$64,MATCH(A10,Plano!$A$5:$A$64,0))),"Sem de-para"))</f>
        <v>Impostos sobre vendas</v>
      </c>
      <c r="D10" s="16" t="n">
        <v>95386</v>
      </c>
      <c r="E10" s="16" t="n">
        <v>97440</v>
      </c>
      <c r="F10" s="16" t="n">
        <v>106819</v>
      </c>
      <c r="G10" s="16" t="n">
        <v>104303</v>
      </c>
      <c r="H10" s="16" t="n">
        <v>109113</v>
      </c>
      <c r="I10" s="16" t="n">
        <v>105690</v>
      </c>
      <c r="J10" s="16" t="n">
        <v>103184</v>
      </c>
      <c r="K10" s="16" t="n">
        <v>108003</v>
      </c>
      <c r="L10" s="16" t="n">
        <v>110991</v>
      </c>
      <c r="M10" s="16" t="n">
        <v>113988</v>
      </c>
      <c r="N10" s="16" t="n">
        <v>116078</v>
      </c>
      <c r="O10" s="16" t="n">
        <v>120916</v>
      </c>
      <c r="P10" s="17" t="n">
        <f aca="false">IF(A10="","",SUM(D10:O10))</f>
        <v>1291911</v>
      </c>
    </row>
    <row r="11" customFormat="false" ht="15" hidden="false" customHeight="false" outlineLevel="0" collapsed="false">
      <c r="A11" s="11" t="s">
        <v>53</v>
      </c>
      <c r="B11" s="12" t="str">
        <f aca="false">IF(A11="","",IFERROR(INDEX(Plano!$B$5:$B$64,MATCH(A11,Plano!$A$5:$A$64,0)),"Conta não cadastrada"))</f>
        <v>ISS sobre serviços</v>
      </c>
      <c r="C11" s="12" t="str">
        <f aca="false">IF(A11="","",IFERROR(IF(INDEX(Plano!$C$5:$C$64,MATCH(A11,Plano!$A$5:$A$64,0))="","Sem de-para",INDEX(Plano!$C$5:$C$64,MATCH(A11,Plano!$A$5:$A$64,0))),"Sem de-para"))</f>
        <v>Impostos sobre vendas</v>
      </c>
      <c r="D11" s="16" t="n">
        <v>17240</v>
      </c>
      <c r="E11" s="16" t="n">
        <v>17570</v>
      </c>
      <c r="F11" s="16" t="n">
        <v>18740</v>
      </c>
      <c r="G11" s="16" t="n">
        <v>18550</v>
      </c>
      <c r="H11" s="16" t="n">
        <v>19200</v>
      </c>
      <c r="I11" s="16" t="n">
        <v>18910</v>
      </c>
      <c r="J11" s="16" t="n">
        <v>18725</v>
      </c>
      <c r="K11" s="16" t="n">
        <v>19380</v>
      </c>
      <c r="L11" s="16" t="n">
        <v>19825</v>
      </c>
      <c r="M11" s="16" t="n">
        <v>20275</v>
      </c>
      <c r="N11" s="16" t="n">
        <v>20625</v>
      </c>
      <c r="O11" s="16" t="n">
        <v>21290</v>
      </c>
      <c r="P11" s="17" t="n">
        <f aca="false">IF(A11="","",SUM(D11:O11))</f>
        <v>230330</v>
      </c>
    </row>
    <row r="12" customFormat="false" ht="15" hidden="false" customHeight="false" outlineLevel="0" collapsed="false">
      <c r="A12" s="11" t="s">
        <v>57</v>
      </c>
      <c r="B12" s="12" t="str">
        <f aca="false">IF(A12="","",IFERROR(INDEX(Plano!$B$5:$B$64,MATCH(A12,Plano!$A$5:$A$64,0)),"Conta não cadastrada"))</f>
        <v>Devoluções de vendas</v>
      </c>
      <c r="C12" s="12" t="str">
        <f aca="false">IF(A12="","",IFERROR(IF(INDEX(Plano!$C$5:$C$64,MATCH(A12,Plano!$A$5:$A$64,0))="","Sem de-para",INDEX(Plano!$C$5:$C$64,MATCH(A12,Plano!$A$5:$A$64,0))),"Sem de-para"))</f>
        <v>Devoluções e abatimentos</v>
      </c>
      <c r="D12" s="16" t="n">
        <v>10296</v>
      </c>
      <c r="E12" s="16" t="n">
        <v>10530</v>
      </c>
      <c r="F12" s="16" t="n">
        <v>11700</v>
      </c>
      <c r="G12" s="16" t="n">
        <v>11349</v>
      </c>
      <c r="H12" s="16" t="n">
        <v>11934</v>
      </c>
      <c r="I12" s="16" t="n">
        <v>11466</v>
      </c>
      <c r="J12" s="16" t="n">
        <v>11115</v>
      </c>
      <c r="K12" s="16" t="n">
        <v>11700</v>
      </c>
      <c r="L12" s="16" t="n">
        <v>12051</v>
      </c>
      <c r="M12" s="16" t="n">
        <v>12402</v>
      </c>
      <c r="N12" s="16" t="n">
        <v>12636</v>
      </c>
      <c r="O12" s="16" t="n">
        <v>13221</v>
      </c>
      <c r="P12" s="17" t="n">
        <f aca="false">IF(A12="","",SUM(D12:O12))</f>
        <v>140400</v>
      </c>
    </row>
    <row r="13" customFormat="false" ht="15" hidden="false" customHeight="false" outlineLevel="0" collapsed="false">
      <c r="A13" s="11" t="s">
        <v>60</v>
      </c>
      <c r="B13" s="12" t="str">
        <f aca="false">IF(A13="","",IFERROR(INDEX(Plano!$B$5:$B$64,MATCH(A13,Plano!$A$5:$A$64,0)),"Conta não cadastrada"))</f>
        <v>Custo das mercadorias vendidas</v>
      </c>
      <c r="C13" s="12" t="str">
        <f aca="false">IF(A13="","",IFERROR(IF(INDEX(Plano!$C$5:$C$64,MATCH(A13,Plano!$A$5:$A$64,0))="","Sem de-para",INDEX(Plano!$C$5:$C$64,MATCH(A13,Plano!$A$5:$A$64,0))),"Sem de-para"))</f>
        <v>CMV / CPV</v>
      </c>
      <c r="D13" s="16" t="n">
        <v>329472</v>
      </c>
      <c r="E13" s="16" t="n">
        <v>336960</v>
      </c>
      <c r="F13" s="16" t="n">
        <v>374400</v>
      </c>
      <c r="G13" s="16" t="n">
        <v>363168</v>
      </c>
      <c r="H13" s="16" t="n">
        <v>381888</v>
      </c>
      <c r="I13" s="16" t="n">
        <v>366912</v>
      </c>
      <c r="J13" s="16" t="n">
        <v>355680</v>
      </c>
      <c r="K13" s="16" t="n">
        <v>374400</v>
      </c>
      <c r="L13" s="16" t="n">
        <v>385632</v>
      </c>
      <c r="M13" s="16" t="n">
        <v>396864</v>
      </c>
      <c r="N13" s="16" t="n">
        <v>404352</v>
      </c>
      <c r="O13" s="16" t="n">
        <v>423072</v>
      </c>
      <c r="P13" s="17" t="n">
        <f aca="false">IF(A13="","",SUM(D13:O13))</f>
        <v>4492800</v>
      </c>
    </row>
    <row r="14" customFormat="false" ht="15" hidden="false" customHeight="false" outlineLevel="0" collapsed="false">
      <c r="A14" s="11" t="s">
        <v>63</v>
      </c>
      <c r="B14" s="12" t="str">
        <f aca="false">IF(A14="","",IFERROR(INDEX(Plano!$B$5:$B$64,MATCH(A14,Plano!$A$5:$A$64,0)),"Conta não cadastrada"))</f>
        <v>Custo dos serviços prestados</v>
      </c>
      <c r="C14" s="12" t="str">
        <f aca="false">IF(A14="","",IFERROR(IF(INDEX(Plano!$C$5:$C$64,MATCH(A14,Plano!$A$5:$A$64,0))="","Sem de-para",INDEX(Plano!$C$5:$C$64,MATCH(A14,Plano!$A$5:$A$64,0))),"Sem de-para"))</f>
        <v>CMV / CPV</v>
      </c>
      <c r="D14" s="16" t="n">
        <v>110336</v>
      </c>
      <c r="E14" s="16" t="n">
        <v>112448</v>
      </c>
      <c r="F14" s="16" t="n">
        <v>119936</v>
      </c>
      <c r="G14" s="16" t="n">
        <v>118720</v>
      </c>
      <c r="H14" s="16" t="n">
        <v>122880</v>
      </c>
      <c r="I14" s="16" t="n">
        <v>121024</v>
      </c>
      <c r="J14" s="16" t="n">
        <v>119840</v>
      </c>
      <c r="K14" s="16" t="n">
        <v>124032</v>
      </c>
      <c r="L14" s="16" t="n">
        <v>126880</v>
      </c>
      <c r="M14" s="16" t="n">
        <v>129760</v>
      </c>
      <c r="N14" s="16" t="n">
        <v>132000</v>
      </c>
      <c r="O14" s="16" t="n">
        <v>136256</v>
      </c>
      <c r="P14" s="17" t="n">
        <f aca="false">IF(A14="","",SUM(D14:O14))</f>
        <v>1474112</v>
      </c>
    </row>
    <row r="15" customFormat="false" ht="15" hidden="false" customHeight="false" outlineLevel="0" collapsed="false">
      <c r="A15" s="11" t="s">
        <v>67</v>
      </c>
      <c r="B15" s="12" t="str">
        <f aca="false">IF(A15="","",IFERROR(INDEX(Plano!$B$5:$B$64,MATCH(A15,Plano!$A$5:$A$64,0)),"Conta não cadastrada"))</f>
        <v>Comissões de vendedores</v>
      </c>
      <c r="C15" s="12" t="str">
        <f aca="false">IF(A15="","",IFERROR(IF(INDEX(Plano!$C$5:$C$64,MATCH(A15,Plano!$A$5:$A$64,0))="","Sem de-para",INDEX(Plano!$C$5:$C$64,MATCH(A15,Plano!$A$5:$A$64,0))),"Sem de-para"))</f>
        <v>Comissões sobre vendas</v>
      </c>
      <c r="D15" s="16" t="n">
        <v>30936</v>
      </c>
      <c r="E15" s="16" t="n">
        <v>31602</v>
      </c>
      <c r="F15" s="16" t="n">
        <v>34644</v>
      </c>
      <c r="G15" s="16" t="n">
        <v>33828</v>
      </c>
      <c r="H15" s="16" t="n">
        <v>35388</v>
      </c>
      <c r="I15" s="16" t="n">
        <v>34278</v>
      </c>
      <c r="J15" s="16" t="n">
        <v>33465</v>
      </c>
      <c r="K15" s="16" t="n">
        <v>35028</v>
      </c>
      <c r="L15" s="16" t="n">
        <v>35997</v>
      </c>
      <c r="M15" s="16" t="n">
        <v>36969</v>
      </c>
      <c r="N15" s="16" t="n">
        <v>37647</v>
      </c>
      <c r="O15" s="16" t="n">
        <v>39216</v>
      </c>
      <c r="P15" s="17" t="n">
        <f aca="false">IF(A15="","",SUM(D15:O15))</f>
        <v>418998</v>
      </c>
    </row>
    <row r="16" customFormat="false" ht="15" hidden="false" customHeight="false" outlineLevel="0" collapsed="false">
      <c r="A16" s="11" t="s">
        <v>70</v>
      </c>
      <c r="B16" s="12" t="str">
        <f aca="false">IF(A16="","",IFERROR(INDEX(Plano!$B$5:$B$64,MATCH(A16,Plano!$A$5:$A$64,0)),"Conta não cadastrada"))</f>
        <v>Fretes sobre vendas</v>
      </c>
      <c r="C16" s="12" t="str">
        <f aca="false">IF(A16="","",IFERROR(IF(INDEX(Plano!$C$5:$C$64,MATCH(A16,Plano!$A$5:$A$64,0))="","Sem de-para",INDEX(Plano!$C$5:$C$64,MATCH(A16,Plano!$A$5:$A$64,0))),"Sem de-para"))</f>
        <v>Fretes sobre vendas</v>
      </c>
      <c r="D16" s="16" t="n">
        <v>17160</v>
      </c>
      <c r="E16" s="16" t="n">
        <v>17550</v>
      </c>
      <c r="F16" s="16" t="n">
        <v>19500</v>
      </c>
      <c r="G16" s="16" t="n">
        <v>18915</v>
      </c>
      <c r="H16" s="16" t="n">
        <v>19890</v>
      </c>
      <c r="I16" s="16" t="n">
        <v>19110</v>
      </c>
      <c r="J16" s="16" t="n">
        <v>18525</v>
      </c>
      <c r="K16" s="16" t="n">
        <v>19500</v>
      </c>
      <c r="L16" s="16" t="n">
        <v>20085</v>
      </c>
      <c r="M16" s="16" t="n">
        <v>20670</v>
      </c>
      <c r="N16" s="16" t="n">
        <v>21060</v>
      </c>
      <c r="O16" s="16" t="n">
        <v>22035</v>
      </c>
      <c r="P16" s="17" t="n">
        <f aca="false">IF(A16="","",SUM(D16:O16))</f>
        <v>234000</v>
      </c>
    </row>
    <row r="17" customFormat="false" ht="15" hidden="false" customHeight="false" outlineLevel="0" collapsed="false">
      <c r="A17" s="11" t="s">
        <v>72</v>
      </c>
      <c r="B17" s="12" t="str">
        <f aca="false">IF(A17="","",IFERROR(INDEX(Plano!$B$5:$B$64,MATCH(A17,Plano!$A$5:$A$64,0)),"Conta não cadastrada"))</f>
        <v>Salários e encargos</v>
      </c>
      <c r="C17" s="12" t="str">
        <f aca="false">IF(A17="","",IFERROR(IF(INDEX(Plano!$C$5:$C$64,MATCH(A17,Plano!$A$5:$A$64,0))="","Sem de-para",INDEX(Plano!$C$5:$C$64,MATCH(A17,Plano!$A$5:$A$64,0))),"Sem de-para"))</f>
        <v>Pessoal</v>
      </c>
      <c r="D17" s="16" t="n">
        <v>140000</v>
      </c>
      <c r="E17" s="16" t="n">
        <v>140000</v>
      </c>
      <c r="F17" s="16" t="n">
        <v>140000</v>
      </c>
      <c r="G17" s="16" t="n">
        <v>140000</v>
      </c>
      <c r="H17" s="16" t="n">
        <v>148400</v>
      </c>
      <c r="I17" s="16" t="n">
        <v>148400</v>
      </c>
      <c r="J17" s="16" t="n">
        <v>148400</v>
      </c>
      <c r="K17" s="16" t="n">
        <v>148400</v>
      </c>
      <c r="L17" s="16" t="n">
        <v>148400</v>
      </c>
      <c r="M17" s="16" t="n">
        <v>148400</v>
      </c>
      <c r="N17" s="16" t="n">
        <v>148400</v>
      </c>
      <c r="O17" s="16" t="n">
        <v>148400</v>
      </c>
      <c r="P17" s="17" t="n">
        <f aca="false">IF(A17="","",SUM(D17:O17))</f>
        <v>1747200</v>
      </c>
    </row>
    <row r="18" customFormat="false" ht="15" hidden="false" customHeight="false" outlineLevel="0" collapsed="false">
      <c r="A18" s="11" t="s">
        <v>75</v>
      </c>
      <c r="B18" s="12" t="str">
        <f aca="false">IF(A18="","",IFERROR(INDEX(Plano!$B$5:$B$64,MATCH(A18,Plano!$A$5:$A$64,0)),"Conta não cadastrada"))</f>
        <v>Benefícios</v>
      </c>
      <c r="C18" s="12" t="str">
        <f aca="false">IF(A18="","",IFERROR(IF(INDEX(Plano!$C$5:$C$64,MATCH(A18,Plano!$A$5:$A$64,0))="","Sem de-para",INDEX(Plano!$C$5:$C$64,MATCH(A18,Plano!$A$5:$A$64,0))),"Sem de-para"))</f>
        <v>Pessoal</v>
      </c>
      <c r="D18" s="16" t="n">
        <v>28000</v>
      </c>
      <c r="E18" s="16" t="n">
        <v>28000</v>
      </c>
      <c r="F18" s="16" t="n">
        <v>28000</v>
      </c>
      <c r="G18" s="16" t="n">
        <v>28000</v>
      </c>
      <c r="H18" s="16" t="n">
        <v>28000</v>
      </c>
      <c r="I18" s="16" t="n">
        <v>28000</v>
      </c>
      <c r="J18" s="16" t="n">
        <v>28000</v>
      </c>
      <c r="K18" s="16" t="n">
        <v>28000</v>
      </c>
      <c r="L18" s="16" t="n">
        <v>28000</v>
      </c>
      <c r="M18" s="16" t="n">
        <v>28000</v>
      </c>
      <c r="N18" s="16" t="n">
        <v>28000</v>
      </c>
      <c r="O18" s="16" t="n">
        <v>28000</v>
      </c>
      <c r="P18" s="17" t="n">
        <f aca="false">IF(A18="","",SUM(D18:O18))</f>
        <v>336000</v>
      </c>
    </row>
    <row r="19" customFormat="false" ht="15" hidden="false" customHeight="false" outlineLevel="0" collapsed="false">
      <c r="A19" s="11" t="s">
        <v>78</v>
      </c>
      <c r="B19" s="12" t="str">
        <f aca="false">IF(A19="","",IFERROR(INDEX(Plano!$B$5:$B$64,MATCH(A19,Plano!$A$5:$A$64,0)),"Conta não cadastrada"))</f>
        <v>Aluguel e condomínio</v>
      </c>
      <c r="C19" s="12" t="str">
        <f aca="false">IF(A19="","",IFERROR(IF(INDEX(Plano!$C$5:$C$64,MATCH(A19,Plano!$A$5:$A$64,0))="","Sem de-para",INDEX(Plano!$C$5:$C$64,MATCH(A19,Plano!$A$5:$A$64,0))),"Sem de-para"))</f>
        <v>Ocupação</v>
      </c>
      <c r="D19" s="16" t="n">
        <v>32000</v>
      </c>
      <c r="E19" s="16" t="n">
        <v>32000</v>
      </c>
      <c r="F19" s="16" t="n">
        <v>32000</v>
      </c>
      <c r="G19" s="16" t="n">
        <v>32000</v>
      </c>
      <c r="H19" s="16" t="n">
        <v>32000</v>
      </c>
      <c r="I19" s="16" t="n">
        <v>32000</v>
      </c>
      <c r="J19" s="16" t="n">
        <v>32000</v>
      </c>
      <c r="K19" s="16" t="n">
        <v>32000</v>
      </c>
      <c r="L19" s="16" t="n">
        <v>32000</v>
      </c>
      <c r="M19" s="16" t="n">
        <v>32000</v>
      </c>
      <c r="N19" s="16" t="n">
        <v>32000</v>
      </c>
      <c r="O19" s="16" t="n">
        <v>32000</v>
      </c>
      <c r="P19" s="17" t="n">
        <f aca="false">IF(A19="","",SUM(D19:O19))</f>
        <v>384000</v>
      </c>
    </row>
    <row r="20" customFormat="false" ht="15" hidden="false" customHeight="false" outlineLevel="0" collapsed="false">
      <c r="A20" s="11" t="s">
        <v>81</v>
      </c>
      <c r="B20" s="12" t="str">
        <f aca="false">IF(A20="","",IFERROR(INDEX(Plano!$B$5:$B$64,MATCH(A20,Plano!$A$5:$A$64,0)),"Conta não cadastrada"))</f>
        <v>Energia, água e manutenção predial</v>
      </c>
      <c r="C20" s="12" t="str">
        <f aca="false">IF(A20="","",IFERROR(IF(INDEX(Plano!$C$5:$C$64,MATCH(A20,Plano!$A$5:$A$64,0))="","Sem de-para",INDEX(Plano!$C$5:$C$64,MATCH(A20,Plano!$A$5:$A$64,0))),"Sem de-para"))</f>
        <v>Ocupação</v>
      </c>
      <c r="D20" s="16" t="n">
        <v>9800</v>
      </c>
      <c r="E20" s="16" t="n">
        <v>9600</v>
      </c>
      <c r="F20" s="16" t="n">
        <v>9100</v>
      </c>
      <c r="G20" s="16" t="n">
        <v>8700</v>
      </c>
      <c r="H20" s="16" t="n">
        <v>8200</v>
      </c>
      <c r="I20" s="16" t="n">
        <v>7900</v>
      </c>
      <c r="J20" s="16" t="n">
        <v>7800</v>
      </c>
      <c r="K20" s="16" t="n">
        <v>8100</v>
      </c>
      <c r="L20" s="16" t="n">
        <v>8600</v>
      </c>
      <c r="M20" s="16" t="n">
        <v>9200</v>
      </c>
      <c r="N20" s="16" t="n">
        <v>9700</v>
      </c>
      <c r="O20" s="16" t="n">
        <v>10100</v>
      </c>
      <c r="P20" s="17" t="n">
        <f aca="false">IF(A20="","",SUM(D20:O20))</f>
        <v>106800</v>
      </c>
    </row>
    <row r="21" customFormat="false" ht="15" hidden="false" customHeight="false" outlineLevel="0" collapsed="false">
      <c r="A21" s="11" t="s">
        <v>85</v>
      </c>
      <c r="B21" s="12" t="str">
        <f aca="false">IF(A21="","",IFERROR(INDEX(Plano!$B$5:$B$64,MATCH(A21,Plano!$A$5:$A$64,0)),"Conta não cadastrada"))</f>
        <v>Contabilidade e jurídico</v>
      </c>
      <c r="C21" s="12" t="str">
        <f aca="false">IF(A21="","",IFERROR(IF(INDEX(Plano!$C$5:$C$64,MATCH(A21,Plano!$A$5:$A$64,0))="","Sem de-para",INDEX(Plano!$C$5:$C$64,MATCH(A21,Plano!$A$5:$A$64,0))),"Sem de-para"))</f>
        <v>Administrativas</v>
      </c>
      <c r="D21" s="16" t="n">
        <v>12000</v>
      </c>
      <c r="E21" s="16" t="n">
        <v>12000</v>
      </c>
      <c r="F21" s="16" t="n">
        <v>12000</v>
      </c>
      <c r="G21" s="16" t="n">
        <v>12000</v>
      </c>
      <c r="H21" s="16" t="n">
        <v>12000</v>
      </c>
      <c r="I21" s="16" t="n">
        <v>12000</v>
      </c>
      <c r="J21" s="16" t="n">
        <v>12000</v>
      </c>
      <c r="K21" s="16" t="n">
        <v>12000</v>
      </c>
      <c r="L21" s="16" t="n">
        <v>12000</v>
      </c>
      <c r="M21" s="16" t="n">
        <v>12000</v>
      </c>
      <c r="N21" s="16" t="n">
        <v>12000</v>
      </c>
      <c r="O21" s="16" t="n">
        <v>12000</v>
      </c>
      <c r="P21" s="17" t="n">
        <f aca="false">IF(A21="","",SUM(D21:O21))</f>
        <v>144000</v>
      </c>
    </row>
    <row r="22" customFormat="false" ht="15" hidden="false" customHeight="false" outlineLevel="0" collapsed="false">
      <c r="A22" s="11" t="s">
        <v>88</v>
      </c>
      <c r="B22" s="12" t="str">
        <f aca="false">IF(A22="","",IFERROR(INDEX(Plano!$B$5:$B$64,MATCH(A22,Plano!$A$5:$A$64,0)),"Conta não cadastrada"))</f>
        <v>Material e despesas gerais</v>
      </c>
      <c r="C22" s="12" t="str">
        <f aca="false">IF(A22="","",IFERROR(IF(INDEX(Plano!$C$5:$C$64,MATCH(A22,Plano!$A$5:$A$64,0))="","Sem de-para",INDEX(Plano!$C$5:$C$64,MATCH(A22,Plano!$A$5:$A$64,0))),"Sem de-para"))</f>
        <v>Administrativas</v>
      </c>
      <c r="D22" s="16" t="n">
        <v>7600</v>
      </c>
      <c r="E22" s="16" t="n">
        <v>7900</v>
      </c>
      <c r="F22" s="16" t="n">
        <v>8300</v>
      </c>
      <c r="G22" s="16" t="n">
        <v>8100</v>
      </c>
      <c r="H22" s="16" t="n">
        <v>8400</v>
      </c>
      <c r="I22" s="16" t="n">
        <v>8000</v>
      </c>
      <c r="J22" s="16" t="n">
        <v>7700</v>
      </c>
      <c r="K22" s="16" t="n">
        <v>8200</v>
      </c>
      <c r="L22" s="16" t="n">
        <v>8500</v>
      </c>
      <c r="M22" s="16" t="n">
        <v>8800</v>
      </c>
      <c r="N22" s="16" t="n">
        <v>9100</v>
      </c>
      <c r="O22" s="16" t="n">
        <v>9600</v>
      </c>
      <c r="P22" s="17" t="n">
        <f aca="false">IF(A22="","",SUM(D22:O22))</f>
        <v>100200</v>
      </c>
    </row>
    <row r="23" customFormat="false" ht="15" hidden="false" customHeight="false" outlineLevel="0" collapsed="false">
      <c r="A23" s="11" t="s">
        <v>91</v>
      </c>
      <c r="B23" s="12" t="str">
        <f aca="false">IF(A23="","",IFERROR(INDEX(Plano!$B$5:$B$64,MATCH(A23,Plano!$A$5:$A$64,0)),"Conta não cadastrada"))</f>
        <v>Marketing e eventos</v>
      </c>
      <c r="C23" s="12" t="str">
        <f aca="false">IF(A23="","",IFERROR(IF(INDEX(Plano!$C$5:$C$64,MATCH(A23,Plano!$A$5:$A$64,0))="","Sem de-para",INDEX(Plano!$C$5:$C$64,MATCH(A23,Plano!$A$5:$A$64,0))),"Sem de-para"))</f>
        <v>Comerciais e marketing</v>
      </c>
      <c r="D23" s="16" t="n">
        <v>18000</v>
      </c>
      <c r="E23" s="16" t="n">
        <v>19000</v>
      </c>
      <c r="F23" s="16" t="n">
        <v>24000</v>
      </c>
      <c r="G23" s="16" t="n">
        <v>22000</v>
      </c>
      <c r="H23" s="16" t="n">
        <v>23000</v>
      </c>
      <c r="I23" s="16" t="n">
        <v>21000</v>
      </c>
      <c r="J23" s="16" t="n">
        <v>19000</v>
      </c>
      <c r="K23" s="16" t="n">
        <v>22000</v>
      </c>
      <c r="L23" s="16" t="n">
        <v>25000</v>
      </c>
      <c r="M23" s="16" t="n">
        <v>27000</v>
      </c>
      <c r="N23" s="16" t="n">
        <v>30000</v>
      </c>
      <c r="O23" s="16" t="n">
        <v>26000</v>
      </c>
      <c r="P23" s="17" t="n">
        <f aca="false">IF(A23="","",SUM(D23:O23))</f>
        <v>276000</v>
      </c>
    </row>
    <row r="24" customFormat="false" ht="15" hidden="false" customHeight="false" outlineLevel="0" collapsed="false">
      <c r="A24" s="11" t="s">
        <v>93</v>
      </c>
      <c r="B24" s="12" t="str">
        <f aca="false">IF(A24="","",IFERROR(INDEX(Plano!$B$5:$B$64,MATCH(A24,Plano!$A$5:$A$64,0)),"Conta não cadastrada"))</f>
        <v>Viagens comerciais</v>
      </c>
      <c r="C24" s="12" t="str">
        <f aca="false">IF(A24="","",IFERROR(IF(INDEX(Plano!$C$5:$C$64,MATCH(A24,Plano!$A$5:$A$64,0))="","Sem de-para",INDEX(Plano!$C$5:$C$64,MATCH(A24,Plano!$A$5:$A$64,0))),"Sem de-para"))</f>
        <v>Comerciais e marketing</v>
      </c>
      <c r="D24" s="16" t="n">
        <v>5200</v>
      </c>
      <c r="E24" s="16" t="n">
        <v>6800</v>
      </c>
      <c r="F24" s="16" t="n">
        <v>7400</v>
      </c>
      <c r="G24" s="16" t="n">
        <v>7100</v>
      </c>
      <c r="H24" s="16" t="n">
        <v>7600</v>
      </c>
      <c r="I24" s="16" t="n">
        <v>6900</v>
      </c>
      <c r="J24" s="16" t="n">
        <v>5800</v>
      </c>
      <c r="K24" s="16" t="n">
        <v>7300</v>
      </c>
      <c r="L24" s="16" t="n">
        <v>7900</v>
      </c>
      <c r="M24" s="16" t="n">
        <v>8200</v>
      </c>
      <c r="N24" s="16" t="n">
        <v>8400</v>
      </c>
      <c r="O24" s="16" t="n">
        <v>5600</v>
      </c>
      <c r="P24" s="17" t="n">
        <f aca="false">IF(A24="","",SUM(D24:O24))</f>
        <v>84200</v>
      </c>
    </row>
    <row r="25" customFormat="false" ht="15" hidden="false" customHeight="false" outlineLevel="0" collapsed="false">
      <c r="A25" s="11" t="s">
        <v>95</v>
      </c>
      <c r="B25" s="12" t="str">
        <f aca="false">IF(A25="","",IFERROR(INDEX(Plano!$B$5:$B$64,MATCH(A25,Plano!$A$5:$A$64,0)),"Conta não cadastrada"))</f>
        <v>Softwares e licenças</v>
      </c>
      <c r="C25" s="12" t="str">
        <f aca="false">IF(A25="","",IFERROR(IF(INDEX(Plano!$C$5:$C$64,MATCH(A25,Plano!$A$5:$A$64,0))="","Sem de-para",INDEX(Plano!$C$5:$C$64,MATCH(A25,Plano!$A$5:$A$64,0))),"Sem de-para"))</f>
        <v>Tecnologia</v>
      </c>
      <c r="D25" s="16" t="n">
        <v>14000</v>
      </c>
      <c r="E25" s="16" t="n">
        <v>14000</v>
      </c>
      <c r="F25" s="16" t="n">
        <v>14000</v>
      </c>
      <c r="G25" s="16" t="n">
        <v>14000</v>
      </c>
      <c r="H25" s="16" t="n">
        <v>14000</v>
      </c>
      <c r="I25" s="16" t="n">
        <v>14000</v>
      </c>
      <c r="J25" s="16" t="n">
        <v>15200</v>
      </c>
      <c r="K25" s="16" t="n">
        <v>15200</v>
      </c>
      <c r="L25" s="16" t="n">
        <v>15200</v>
      </c>
      <c r="M25" s="16" t="n">
        <v>15200</v>
      </c>
      <c r="N25" s="16" t="n">
        <v>15200</v>
      </c>
      <c r="O25" s="16" t="n">
        <v>15200</v>
      </c>
      <c r="P25" s="17" t="n">
        <f aca="false">IF(A25="","",SUM(D25:O25))</f>
        <v>175200</v>
      </c>
    </row>
    <row r="26" customFormat="false" ht="15" hidden="false" customHeight="false" outlineLevel="0" collapsed="false">
      <c r="A26" s="11" t="s">
        <v>97</v>
      </c>
      <c r="B26" s="12" t="str">
        <f aca="false">IF(A26="","",IFERROR(INDEX(Plano!$B$5:$B$64,MATCH(A26,Plano!$A$5:$A$64,0)),"Conta não cadastrada"))</f>
        <v>Infraestrutura e telecom</v>
      </c>
      <c r="C26" s="12" t="str">
        <f aca="false">IF(A26="","",IFERROR(IF(INDEX(Plano!$C$5:$C$64,MATCH(A26,Plano!$A$5:$A$64,0))="","Sem de-para",INDEX(Plano!$C$5:$C$64,MATCH(A26,Plano!$A$5:$A$64,0))),"Sem de-para"))</f>
        <v>Tecnologia</v>
      </c>
      <c r="D26" s="16" t="n">
        <v>6100</v>
      </c>
      <c r="E26" s="16" t="n">
        <v>6100</v>
      </c>
      <c r="F26" s="16" t="n">
        <v>6100</v>
      </c>
      <c r="G26" s="16" t="n">
        <v>6100</v>
      </c>
      <c r="H26" s="16" t="n">
        <v>6100</v>
      </c>
      <c r="I26" s="16" t="n">
        <v>6100</v>
      </c>
      <c r="J26" s="16" t="n">
        <v>6100</v>
      </c>
      <c r="K26" s="16" t="n">
        <v>6100</v>
      </c>
      <c r="L26" s="16" t="n">
        <v>6100</v>
      </c>
      <c r="M26" s="16" t="n">
        <v>6100</v>
      </c>
      <c r="N26" s="16" t="n">
        <v>6100</v>
      </c>
      <c r="O26" s="16" t="n">
        <v>6100</v>
      </c>
      <c r="P26" s="17" t="n">
        <f aca="false">IF(A26="","",SUM(D26:O26))</f>
        <v>73200</v>
      </c>
    </row>
    <row r="27" customFormat="false" ht="15" hidden="false" customHeight="false" outlineLevel="0" collapsed="false">
      <c r="A27" s="11" t="s">
        <v>99</v>
      </c>
      <c r="B27" s="12" t="str">
        <f aca="false">IF(A27="","",IFERROR(INDEX(Plano!$B$5:$B$64,MATCH(A27,Plano!$A$5:$A$64,0)),"Conta não cadastrada"))</f>
        <v>Depreciação</v>
      </c>
      <c r="C27" s="12" t="str">
        <f aca="false">IF(A27="","",IFERROR(IF(INDEX(Plano!$C$5:$C$64,MATCH(A27,Plano!$A$5:$A$64,0))="","Sem de-para",INDEX(Plano!$C$5:$C$64,MATCH(A27,Plano!$A$5:$A$64,0))),"Sem de-para"))</f>
        <v>Depreciação e amortização</v>
      </c>
      <c r="D27" s="16" t="n">
        <v>18000</v>
      </c>
      <c r="E27" s="16" t="n">
        <v>18000</v>
      </c>
      <c r="F27" s="16" t="n">
        <v>18000</v>
      </c>
      <c r="G27" s="16" t="n">
        <v>18000</v>
      </c>
      <c r="H27" s="16" t="n">
        <v>18000</v>
      </c>
      <c r="I27" s="16" t="n">
        <v>18000</v>
      </c>
      <c r="J27" s="16" t="n">
        <v>18000</v>
      </c>
      <c r="K27" s="16" t="n">
        <v>18000</v>
      </c>
      <c r="L27" s="16" t="n">
        <v>18000</v>
      </c>
      <c r="M27" s="16" t="n">
        <v>18000</v>
      </c>
      <c r="N27" s="16" t="n">
        <v>18000</v>
      </c>
      <c r="O27" s="16" t="n">
        <v>18000</v>
      </c>
      <c r="P27" s="17" t="n">
        <f aca="false">IF(A27="","",SUM(D27:O27))</f>
        <v>216000</v>
      </c>
    </row>
    <row r="28" customFormat="false" ht="15" hidden="false" customHeight="false" outlineLevel="0" collapsed="false">
      <c r="A28" s="11" t="s">
        <v>101</v>
      </c>
      <c r="B28" s="12" t="str">
        <f aca="false">IF(A28="","",IFERROR(INDEX(Plano!$B$5:$B$64,MATCH(A28,Plano!$A$5:$A$64,0)),"Conta não cadastrada"))</f>
        <v>Amortização de intangíveis</v>
      </c>
      <c r="C28" s="12" t="str">
        <f aca="false">IF(A28="","",IFERROR(IF(INDEX(Plano!$C$5:$C$64,MATCH(A28,Plano!$A$5:$A$64,0))="","Sem de-para",INDEX(Plano!$C$5:$C$64,MATCH(A28,Plano!$A$5:$A$64,0))),"Sem de-para"))</f>
        <v>Depreciação e amortização</v>
      </c>
      <c r="D28" s="16" t="n">
        <v>4000</v>
      </c>
      <c r="E28" s="16" t="n">
        <v>4000</v>
      </c>
      <c r="F28" s="16" t="n">
        <v>4000</v>
      </c>
      <c r="G28" s="16" t="n">
        <v>4000</v>
      </c>
      <c r="H28" s="16" t="n">
        <v>4000</v>
      </c>
      <c r="I28" s="16" t="n">
        <v>4000</v>
      </c>
      <c r="J28" s="16" t="n">
        <v>4000</v>
      </c>
      <c r="K28" s="16" t="n">
        <v>4000</v>
      </c>
      <c r="L28" s="16" t="n">
        <v>4000</v>
      </c>
      <c r="M28" s="16" t="n">
        <v>4000</v>
      </c>
      <c r="N28" s="16" t="n">
        <v>4000</v>
      </c>
      <c r="O28" s="16" t="n">
        <v>4000</v>
      </c>
      <c r="P28" s="17" t="n">
        <f aca="false">IF(A28="","",SUM(D28:O28))</f>
        <v>48000</v>
      </c>
    </row>
    <row r="29" customFormat="false" ht="15" hidden="false" customHeight="false" outlineLevel="0" collapsed="false">
      <c r="A29" s="11" t="s">
        <v>103</v>
      </c>
      <c r="B29" s="12" t="str">
        <f aca="false">IF(A29="","",IFERROR(INDEX(Plano!$B$5:$B$64,MATCH(A29,Plano!$A$5:$A$64,0)),"Conta não cadastrada"))</f>
        <v>Rendimentos de aplicações</v>
      </c>
      <c r="C29" s="12" t="str">
        <f aca="false">IF(A29="","",IFERROR(IF(INDEX(Plano!$C$5:$C$64,MATCH(A29,Plano!$A$5:$A$64,0))="","Sem de-para",INDEX(Plano!$C$5:$C$64,MATCH(A29,Plano!$A$5:$A$64,0))),"Sem de-para"))</f>
        <v>Receitas financeiras</v>
      </c>
      <c r="D29" s="16" t="n">
        <v>5400</v>
      </c>
      <c r="E29" s="16" t="n">
        <v>5600</v>
      </c>
      <c r="F29" s="16" t="n">
        <v>6100</v>
      </c>
      <c r="G29" s="16" t="n">
        <v>5800</v>
      </c>
      <c r="H29" s="16" t="n">
        <v>6300</v>
      </c>
      <c r="I29" s="16" t="n">
        <v>6000</v>
      </c>
      <c r="J29" s="16" t="n">
        <v>5900</v>
      </c>
      <c r="K29" s="16" t="n">
        <v>6200</v>
      </c>
      <c r="L29" s="16" t="n">
        <v>6600</v>
      </c>
      <c r="M29" s="16" t="n">
        <v>6900</v>
      </c>
      <c r="N29" s="16" t="n">
        <v>7200</v>
      </c>
      <c r="O29" s="16" t="n">
        <v>7600</v>
      </c>
      <c r="P29" s="17" t="n">
        <f aca="false">IF(A29="","",SUM(D29:O29))</f>
        <v>75600</v>
      </c>
    </row>
    <row r="30" customFormat="false" ht="15" hidden="false" customHeight="false" outlineLevel="0" collapsed="false">
      <c r="A30" s="11" t="s">
        <v>105</v>
      </c>
      <c r="B30" s="12" t="str">
        <f aca="false">IF(A30="","",IFERROR(INDEX(Plano!$B$5:$B$64,MATCH(A30,Plano!$A$5:$A$64,0)),"Conta não cadastrada"))</f>
        <v>Juros de empréstimos</v>
      </c>
      <c r="C30" s="12" t="str">
        <f aca="false">IF(A30="","",IFERROR(IF(INDEX(Plano!$C$5:$C$64,MATCH(A30,Plano!$A$5:$A$64,0))="","Sem de-para",INDEX(Plano!$C$5:$C$64,MATCH(A30,Plano!$A$5:$A$64,0))),"Sem de-para"))</f>
        <v>Despesas financeiras</v>
      </c>
      <c r="D30" s="16" t="n">
        <v>21000</v>
      </c>
      <c r="E30" s="16" t="n">
        <v>20685</v>
      </c>
      <c r="F30" s="16" t="n">
        <v>20375</v>
      </c>
      <c r="G30" s="16" t="n">
        <v>20069</v>
      </c>
      <c r="H30" s="16" t="n">
        <v>19768</v>
      </c>
      <c r="I30" s="16" t="n">
        <v>19472</v>
      </c>
      <c r="J30" s="16" t="n">
        <v>19179</v>
      </c>
      <c r="K30" s="16" t="n">
        <v>18892</v>
      </c>
      <c r="L30" s="16" t="n">
        <v>18608</v>
      </c>
      <c r="M30" s="16" t="n">
        <v>18329</v>
      </c>
      <c r="N30" s="16" t="n">
        <v>18054</v>
      </c>
      <c r="O30" s="16" t="n">
        <v>17784</v>
      </c>
      <c r="P30" s="17" t="n">
        <f aca="false">IF(A30="","",SUM(D30:O30))</f>
        <v>232215</v>
      </c>
    </row>
    <row r="31" customFormat="false" ht="15" hidden="false" customHeight="false" outlineLevel="0" collapsed="false">
      <c r="A31" s="11" t="s">
        <v>107</v>
      </c>
      <c r="B31" s="12" t="str">
        <f aca="false">IF(A31="","",IFERROR(INDEX(Plano!$B$5:$B$64,MATCH(A31,Plano!$A$5:$A$64,0)),"Conta não cadastrada"))</f>
        <v>Tarifas bancárias e IOF</v>
      </c>
      <c r="C31" s="12" t="str">
        <f aca="false">IF(A31="","",IFERROR(IF(INDEX(Plano!$C$5:$C$64,MATCH(A31,Plano!$A$5:$A$64,0))="","Sem de-para",INDEX(Plano!$C$5:$C$64,MATCH(A31,Plano!$A$5:$A$64,0))),"Sem de-para"))</f>
        <v>Despesas financeiras</v>
      </c>
      <c r="D31" s="16" t="n">
        <v>3500</v>
      </c>
      <c r="E31" s="16" t="n">
        <v>3500</v>
      </c>
      <c r="F31" s="16" t="n">
        <v>3500</v>
      </c>
      <c r="G31" s="16" t="n">
        <v>3500</v>
      </c>
      <c r="H31" s="16" t="n">
        <v>3500</v>
      </c>
      <c r="I31" s="16" t="n">
        <v>3500</v>
      </c>
      <c r="J31" s="16" t="n">
        <v>3500</v>
      </c>
      <c r="K31" s="16" t="n">
        <v>3500</v>
      </c>
      <c r="L31" s="16" t="n">
        <v>3500</v>
      </c>
      <c r="M31" s="16" t="n">
        <v>3500</v>
      </c>
      <c r="N31" s="16" t="n">
        <v>3500</v>
      </c>
      <c r="O31" s="16" t="n">
        <v>3500</v>
      </c>
      <c r="P31" s="17" t="n">
        <f aca="false">IF(A31="","",SUM(D31:O31))</f>
        <v>42000</v>
      </c>
    </row>
    <row r="32" customFormat="false" ht="15" hidden="false" customHeight="false" outlineLevel="0" collapsed="false">
      <c r="A32" s="11" t="s">
        <v>109</v>
      </c>
      <c r="B32" s="12" t="str">
        <f aca="false">IF(A32="","",IFERROR(INDEX(Plano!$B$5:$B$64,MATCH(A32,Plano!$A$5:$A$64,0)),"Conta não cadastrada"))</f>
        <v>IRPJ e CSLL</v>
      </c>
      <c r="C32" s="12" t="str">
        <f aca="false">IF(A32="","",IFERROR(IF(INDEX(Plano!$C$5:$C$64,MATCH(A32,Plano!$A$5:$A$64,0))="","Sem de-para",INDEX(Plano!$C$5:$C$64,MATCH(A32,Plano!$A$5:$A$64,0))),"Sem de-para"))</f>
        <v>IR e CSLL</v>
      </c>
      <c r="D32" s="16" t="n">
        <v>8230</v>
      </c>
      <c r="E32" s="16" t="n">
        <v>9886</v>
      </c>
      <c r="F32" s="16" t="n">
        <v>18627</v>
      </c>
      <c r="G32" s="16" t="n">
        <v>17070</v>
      </c>
      <c r="H32" s="16" t="n">
        <v>19437</v>
      </c>
      <c r="I32" s="16" t="n">
        <v>17071</v>
      </c>
      <c r="J32" s="16" t="n">
        <v>15391</v>
      </c>
      <c r="K32" s="16" t="n">
        <v>19198</v>
      </c>
      <c r="L32" s="16" t="n">
        <v>21360</v>
      </c>
      <c r="M32" s="16" t="n">
        <v>23911</v>
      </c>
      <c r="N32" s="16" t="n">
        <v>25214</v>
      </c>
      <c r="O32" s="16" t="n">
        <v>32892</v>
      </c>
      <c r="P32" s="17" t="n">
        <f aca="false">IF(A32="","",SUM(D32:O32))</f>
        <v>228287</v>
      </c>
    </row>
    <row r="33" customFormat="false" ht="15" hidden="false" customHeight="false" outlineLevel="0" collapsed="false">
      <c r="A33" s="11"/>
      <c r="B33" s="12" t="str">
        <f aca="false">IF(A33="","",IFERROR(INDEX(Plano!$B$5:$B$64,MATCH(A33,Plano!$A$5:$A$64,0)),"Conta não cadastrada"))</f>
        <v/>
      </c>
      <c r="C33" s="12" t="str">
        <f aca="false">IF(A33="","",IFERROR(IF(INDEX(Plano!$C$5:$C$64,MATCH(A33,Plano!$A$5:$A$64,0))="","Sem de-para",INDEX(Plano!$C$5:$C$64,MATCH(A33,Plano!$A$5:$A$64,0))),"Sem de-para"))</f>
        <v/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 t="str">
        <f aca="false">IF(A33="","",SUM(D33:O33))</f>
        <v/>
      </c>
    </row>
    <row r="34" customFormat="false" ht="15" hidden="false" customHeight="false" outlineLevel="0" collapsed="false">
      <c r="A34" s="11"/>
      <c r="B34" s="12" t="str">
        <f aca="false">IF(A34="","",IFERROR(INDEX(Plano!$B$5:$B$64,MATCH(A34,Plano!$A$5:$A$64,0)),"Conta não cadastrada"))</f>
        <v/>
      </c>
      <c r="C34" s="12" t="str">
        <f aca="false">IF(A34="","",IFERROR(IF(INDEX(Plano!$C$5:$C$64,MATCH(A34,Plano!$A$5:$A$64,0))="","Sem de-para",INDEX(Plano!$C$5:$C$64,MATCH(A34,Plano!$A$5:$A$64,0))),"Sem de-para"))</f>
        <v/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 t="str">
        <f aca="false">IF(A34="","",SUM(D34:O34))</f>
        <v/>
      </c>
    </row>
    <row r="35" customFormat="false" ht="15" hidden="false" customHeight="false" outlineLevel="0" collapsed="false">
      <c r="A35" s="11"/>
      <c r="B35" s="12" t="str">
        <f aca="false">IF(A35="","",IFERROR(INDEX(Plano!$B$5:$B$64,MATCH(A35,Plano!$A$5:$A$64,0)),"Conta não cadastrada"))</f>
        <v/>
      </c>
      <c r="C35" s="12" t="str">
        <f aca="false">IF(A35="","",IFERROR(IF(INDEX(Plano!$C$5:$C$64,MATCH(A35,Plano!$A$5:$A$64,0))="","Sem de-para",INDEX(Plano!$C$5:$C$64,MATCH(A35,Plano!$A$5:$A$64,0))),"Sem de-para"))</f>
        <v/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 t="str">
        <f aca="false">IF(A35="","",SUM(D35:O35))</f>
        <v/>
      </c>
    </row>
    <row r="36" customFormat="false" ht="15" hidden="false" customHeight="false" outlineLevel="0" collapsed="false">
      <c r="A36" s="11"/>
      <c r="B36" s="12" t="str">
        <f aca="false">IF(A36="","",IFERROR(INDEX(Plano!$B$5:$B$64,MATCH(A36,Plano!$A$5:$A$64,0)),"Conta não cadastrada"))</f>
        <v/>
      </c>
      <c r="C36" s="12" t="str">
        <f aca="false">IF(A36="","",IFERROR(IF(INDEX(Plano!$C$5:$C$64,MATCH(A36,Plano!$A$5:$A$64,0))="","Sem de-para",INDEX(Plano!$C$5:$C$64,MATCH(A36,Plano!$A$5:$A$64,0))),"Sem de-para"))</f>
        <v/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 t="str">
        <f aca="false">IF(A36="","",SUM(D36:O36))</f>
        <v/>
      </c>
    </row>
    <row r="37" customFormat="false" ht="15" hidden="false" customHeight="false" outlineLevel="0" collapsed="false">
      <c r="A37" s="11"/>
      <c r="B37" s="12" t="str">
        <f aca="false">IF(A37="","",IFERROR(INDEX(Plano!$B$5:$B$64,MATCH(A37,Plano!$A$5:$A$64,0)),"Conta não cadastrada"))</f>
        <v/>
      </c>
      <c r="C37" s="12" t="str">
        <f aca="false">IF(A37="","",IFERROR(IF(INDEX(Plano!$C$5:$C$64,MATCH(A37,Plano!$A$5:$A$64,0))="","Sem de-para",INDEX(Plano!$C$5:$C$64,MATCH(A37,Plano!$A$5:$A$64,0))),"Sem de-para"))</f>
        <v/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 t="str">
        <f aca="false">IF(A37="","",SUM(D37:O37))</f>
        <v/>
      </c>
    </row>
    <row r="38" customFormat="false" ht="15" hidden="false" customHeight="false" outlineLevel="0" collapsed="false">
      <c r="A38" s="11"/>
      <c r="B38" s="12" t="str">
        <f aca="false">IF(A38="","",IFERROR(INDEX(Plano!$B$5:$B$64,MATCH(A38,Plano!$A$5:$A$64,0)),"Conta não cadastrada"))</f>
        <v/>
      </c>
      <c r="C38" s="12" t="str">
        <f aca="false">IF(A38="","",IFERROR(IF(INDEX(Plano!$C$5:$C$64,MATCH(A38,Plano!$A$5:$A$64,0))="","Sem de-para",INDEX(Plano!$C$5:$C$64,MATCH(A38,Plano!$A$5:$A$64,0))),"Sem de-para"))</f>
        <v/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 t="str">
        <f aca="false">IF(A38="","",SUM(D38:O38))</f>
        <v/>
      </c>
    </row>
    <row r="39" customFormat="false" ht="15" hidden="false" customHeight="false" outlineLevel="0" collapsed="false">
      <c r="A39" s="11"/>
      <c r="B39" s="12" t="str">
        <f aca="false">IF(A39="","",IFERROR(INDEX(Plano!$B$5:$B$64,MATCH(A39,Plano!$A$5:$A$64,0)),"Conta não cadastrada"))</f>
        <v/>
      </c>
      <c r="C39" s="12" t="str">
        <f aca="false">IF(A39="","",IFERROR(IF(INDEX(Plano!$C$5:$C$64,MATCH(A39,Plano!$A$5:$A$64,0))="","Sem de-para",INDEX(Plano!$C$5:$C$64,MATCH(A39,Plano!$A$5:$A$64,0))),"Sem de-para"))</f>
        <v/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 t="str">
        <f aca="false">IF(A39="","",SUM(D39:O39))</f>
        <v/>
      </c>
    </row>
    <row r="40" customFormat="false" ht="15" hidden="false" customHeight="false" outlineLevel="0" collapsed="false">
      <c r="A40" s="11"/>
      <c r="B40" s="12" t="str">
        <f aca="false">IF(A40="","",IFERROR(INDEX(Plano!$B$5:$B$64,MATCH(A40,Plano!$A$5:$A$64,0)),"Conta não cadastrada"))</f>
        <v/>
      </c>
      <c r="C40" s="12" t="str">
        <f aca="false">IF(A40="","",IFERROR(IF(INDEX(Plano!$C$5:$C$64,MATCH(A40,Plano!$A$5:$A$64,0))="","Sem de-para",INDEX(Plano!$C$5:$C$64,MATCH(A40,Plano!$A$5:$A$64,0))),"Sem de-para"))</f>
        <v/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 t="str">
        <f aca="false">IF(A40="","",SUM(D40:O40))</f>
        <v/>
      </c>
    </row>
    <row r="41" customFormat="false" ht="15" hidden="false" customHeight="false" outlineLevel="0" collapsed="false">
      <c r="A41" s="11"/>
      <c r="B41" s="12" t="str">
        <f aca="false">IF(A41="","",IFERROR(INDEX(Plano!$B$5:$B$64,MATCH(A41,Plano!$A$5:$A$64,0)),"Conta não cadastrada"))</f>
        <v/>
      </c>
      <c r="C41" s="12" t="str">
        <f aca="false">IF(A41="","",IFERROR(IF(INDEX(Plano!$C$5:$C$64,MATCH(A41,Plano!$A$5:$A$64,0))="","Sem de-para",INDEX(Plano!$C$5:$C$64,MATCH(A41,Plano!$A$5:$A$64,0))),"Sem de-para"))</f>
        <v/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 t="str">
        <f aca="false">IF(A41="","",SUM(D41:O41))</f>
        <v/>
      </c>
    </row>
    <row r="42" customFormat="false" ht="15" hidden="false" customHeight="false" outlineLevel="0" collapsed="false">
      <c r="A42" s="11"/>
      <c r="B42" s="12" t="str">
        <f aca="false">IF(A42="","",IFERROR(INDEX(Plano!$B$5:$B$64,MATCH(A42,Plano!$A$5:$A$64,0)),"Conta não cadastrada"))</f>
        <v/>
      </c>
      <c r="C42" s="12" t="str">
        <f aca="false">IF(A42="","",IFERROR(IF(INDEX(Plano!$C$5:$C$64,MATCH(A42,Plano!$A$5:$A$64,0))="","Sem de-para",INDEX(Plano!$C$5:$C$64,MATCH(A42,Plano!$A$5:$A$64,0))),"Sem de-para"))</f>
        <v/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 t="str">
        <f aca="false">IF(A42="","",SUM(D42:O42))</f>
        <v/>
      </c>
    </row>
    <row r="43" customFormat="false" ht="15" hidden="false" customHeight="false" outlineLevel="0" collapsed="false">
      <c r="A43" s="11"/>
      <c r="B43" s="12" t="str">
        <f aca="false">IF(A43="","",IFERROR(INDEX(Plano!$B$5:$B$64,MATCH(A43,Plano!$A$5:$A$64,0)),"Conta não cadastrada"))</f>
        <v/>
      </c>
      <c r="C43" s="12" t="str">
        <f aca="false">IF(A43="","",IFERROR(IF(INDEX(Plano!$C$5:$C$64,MATCH(A43,Plano!$A$5:$A$64,0))="","Sem de-para",INDEX(Plano!$C$5:$C$64,MATCH(A43,Plano!$A$5:$A$64,0))),"Sem de-para"))</f>
        <v/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 t="str">
        <f aca="false">IF(A43="","",SUM(D43:O43))</f>
        <v/>
      </c>
    </row>
    <row r="44" customFormat="false" ht="15" hidden="false" customHeight="false" outlineLevel="0" collapsed="false">
      <c r="A44" s="11"/>
      <c r="B44" s="12" t="str">
        <f aca="false">IF(A44="","",IFERROR(INDEX(Plano!$B$5:$B$64,MATCH(A44,Plano!$A$5:$A$64,0)),"Conta não cadastrada"))</f>
        <v/>
      </c>
      <c r="C44" s="12" t="str">
        <f aca="false">IF(A44="","",IFERROR(IF(INDEX(Plano!$C$5:$C$64,MATCH(A44,Plano!$A$5:$A$64,0))="","Sem de-para",INDEX(Plano!$C$5:$C$64,MATCH(A44,Plano!$A$5:$A$64,0))),"Sem de-para"))</f>
        <v/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 t="str">
        <f aca="false">IF(A44="","",SUM(D44:O44))</f>
        <v/>
      </c>
    </row>
    <row r="45" customFormat="false" ht="15" hidden="false" customHeight="false" outlineLevel="0" collapsed="false">
      <c r="A45" s="11"/>
      <c r="B45" s="12" t="str">
        <f aca="false">IF(A45="","",IFERROR(INDEX(Plano!$B$5:$B$64,MATCH(A45,Plano!$A$5:$A$64,0)),"Conta não cadastrada"))</f>
        <v/>
      </c>
      <c r="C45" s="12" t="str">
        <f aca="false">IF(A45="","",IFERROR(IF(INDEX(Plano!$C$5:$C$64,MATCH(A45,Plano!$A$5:$A$64,0))="","Sem de-para",INDEX(Plano!$C$5:$C$64,MATCH(A45,Plano!$A$5:$A$64,0))),"Sem de-para"))</f>
        <v/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 t="str">
        <f aca="false">IF(A45="","",SUM(D45:O45))</f>
        <v/>
      </c>
    </row>
    <row r="46" customFormat="false" ht="15" hidden="false" customHeight="false" outlineLevel="0" collapsed="false">
      <c r="A46" s="11"/>
      <c r="B46" s="12" t="str">
        <f aca="false">IF(A46="","",IFERROR(INDEX(Plano!$B$5:$B$64,MATCH(A46,Plano!$A$5:$A$64,0)),"Conta não cadastrada"))</f>
        <v/>
      </c>
      <c r="C46" s="12" t="str">
        <f aca="false">IF(A46="","",IFERROR(IF(INDEX(Plano!$C$5:$C$64,MATCH(A46,Plano!$A$5:$A$64,0))="","Sem de-para",INDEX(Plano!$C$5:$C$64,MATCH(A46,Plano!$A$5:$A$64,0))),"Sem de-para"))</f>
        <v/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 t="str">
        <f aca="false">IF(A46="","",SUM(D46:O46))</f>
        <v/>
      </c>
    </row>
    <row r="47" customFormat="false" ht="15" hidden="false" customHeight="false" outlineLevel="0" collapsed="false">
      <c r="A47" s="11"/>
      <c r="B47" s="12" t="str">
        <f aca="false">IF(A47="","",IFERROR(INDEX(Plano!$B$5:$B$64,MATCH(A47,Plano!$A$5:$A$64,0)),"Conta não cadastrada"))</f>
        <v/>
      </c>
      <c r="C47" s="12" t="str">
        <f aca="false">IF(A47="","",IFERROR(IF(INDEX(Plano!$C$5:$C$64,MATCH(A47,Plano!$A$5:$A$64,0))="","Sem de-para",INDEX(Plano!$C$5:$C$64,MATCH(A47,Plano!$A$5:$A$64,0))),"Sem de-para"))</f>
        <v/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 t="str">
        <f aca="false">IF(A47="","",SUM(D47:O47))</f>
        <v/>
      </c>
    </row>
    <row r="48" customFormat="false" ht="15" hidden="false" customHeight="false" outlineLevel="0" collapsed="false">
      <c r="A48" s="11"/>
      <c r="B48" s="12" t="str">
        <f aca="false">IF(A48="","",IFERROR(INDEX(Plano!$B$5:$B$64,MATCH(A48,Plano!$A$5:$A$64,0)),"Conta não cadastrada"))</f>
        <v/>
      </c>
      <c r="C48" s="12" t="str">
        <f aca="false">IF(A48="","",IFERROR(IF(INDEX(Plano!$C$5:$C$64,MATCH(A48,Plano!$A$5:$A$64,0))="","Sem de-para",INDEX(Plano!$C$5:$C$64,MATCH(A48,Plano!$A$5:$A$64,0))),"Sem de-para"))</f>
        <v/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 t="str">
        <f aca="false">IF(A48="","",SUM(D48:O48))</f>
        <v/>
      </c>
    </row>
    <row r="49" customFormat="false" ht="15" hidden="false" customHeight="false" outlineLevel="0" collapsed="false">
      <c r="A49" s="11"/>
      <c r="B49" s="12" t="str">
        <f aca="false">IF(A49="","",IFERROR(INDEX(Plano!$B$5:$B$64,MATCH(A49,Plano!$A$5:$A$64,0)),"Conta não cadastrada"))</f>
        <v/>
      </c>
      <c r="C49" s="12" t="str">
        <f aca="false">IF(A49="","",IFERROR(IF(INDEX(Plano!$C$5:$C$64,MATCH(A49,Plano!$A$5:$A$64,0))="","Sem de-para",INDEX(Plano!$C$5:$C$64,MATCH(A49,Plano!$A$5:$A$64,0))),"Sem de-para"))</f>
        <v/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 t="str">
        <f aca="false">IF(A49="","",SUM(D49:O49))</f>
        <v/>
      </c>
    </row>
    <row r="50" customFormat="false" ht="15" hidden="false" customHeight="false" outlineLevel="0" collapsed="false">
      <c r="A50" s="11"/>
      <c r="B50" s="12" t="str">
        <f aca="false">IF(A50="","",IFERROR(INDEX(Plano!$B$5:$B$64,MATCH(A50,Plano!$A$5:$A$64,0)),"Conta não cadastrada"))</f>
        <v/>
      </c>
      <c r="C50" s="12" t="str">
        <f aca="false">IF(A50="","",IFERROR(IF(INDEX(Plano!$C$5:$C$64,MATCH(A50,Plano!$A$5:$A$64,0))="","Sem de-para",INDEX(Plano!$C$5:$C$64,MATCH(A50,Plano!$A$5:$A$64,0))),"Sem de-para"))</f>
        <v/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 t="str">
        <f aca="false">IF(A50="","",SUM(D50:O50))</f>
        <v/>
      </c>
    </row>
    <row r="51" customFormat="false" ht="15" hidden="false" customHeight="false" outlineLevel="0" collapsed="false">
      <c r="A51" s="11"/>
      <c r="B51" s="12" t="str">
        <f aca="false">IF(A51="","",IFERROR(INDEX(Plano!$B$5:$B$64,MATCH(A51,Plano!$A$5:$A$64,0)),"Conta não cadastrada"))</f>
        <v/>
      </c>
      <c r="C51" s="12" t="str">
        <f aca="false">IF(A51="","",IFERROR(IF(INDEX(Plano!$C$5:$C$64,MATCH(A51,Plano!$A$5:$A$64,0))="","Sem de-para",INDEX(Plano!$C$5:$C$64,MATCH(A51,Plano!$A$5:$A$64,0))),"Sem de-para"))</f>
        <v/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 t="str">
        <f aca="false">IF(A51="","",SUM(D51:O51))</f>
        <v/>
      </c>
    </row>
    <row r="52" customFormat="false" ht="15" hidden="false" customHeight="false" outlineLevel="0" collapsed="false">
      <c r="A52" s="11"/>
      <c r="B52" s="12" t="str">
        <f aca="false">IF(A52="","",IFERROR(INDEX(Plano!$B$5:$B$64,MATCH(A52,Plano!$A$5:$A$64,0)),"Conta não cadastrada"))</f>
        <v/>
      </c>
      <c r="C52" s="12" t="str">
        <f aca="false">IF(A52="","",IFERROR(IF(INDEX(Plano!$C$5:$C$64,MATCH(A52,Plano!$A$5:$A$64,0))="","Sem de-para",INDEX(Plano!$C$5:$C$64,MATCH(A52,Plano!$A$5:$A$64,0))),"Sem de-para"))</f>
        <v/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 t="str">
        <f aca="false">IF(A52="","",SUM(D52:O52))</f>
        <v/>
      </c>
    </row>
    <row r="53" customFormat="false" ht="15" hidden="false" customHeight="false" outlineLevel="0" collapsed="false">
      <c r="A53" s="11"/>
      <c r="B53" s="12" t="str">
        <f aca="false">IF(A53="","",IFERROR(INDEX(Plano!$B$5:$B$64,MATCH(A53,Plano!$A$5:$A$64,0)),"Conta não cadastrada"))</f>
        <v/>
      </c>
      <c r="C53" s="12" t="str">
        <f aca="false">IF(A53="","",IFERROR(IF(INDEX(Plano!$C$5:$C$64,MATCH(A53,Plano!$A$5:$A$64,0))="","Sem de-para",INDEX(Plano!$C$5:$C$64,MATCH(A53,Plano!$A$5:$A$64,0))),"Sem de-para"))</f>
        <v/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 t="str">
        <f aca="false">IF(A53="","",SUM(D53:O53))</f>
        <v/>
      </c>
    </row>
    <row r="54" customFormat="false" ht="15" hidden="false" customHeight="false" outlineLevel="0" collapsed="false">
      <c r="A54" s="11"/>
      <c r="B54" s="12" t="str">
        <f aca="false">IF(A54="","",IFERROR(INDEX(Plano!$B$5:$B$64,MATCH(A54,Plano!$A$5:$A$64,0)),"Conta não cadastrada"))</f>
        <v/>
      </c>
      <c r="C54" s="12" t="str">
        <f aca="false">IF(A54="","",IFERROR(IF(INDEX(Plano!$C$5:$C$64,MATCH(A54,Plano!$A$5:$A$64,0))="","Sem de-para",INDEX(Plano!$C$5:$C$64,MATCH(A54,Plano!$A$5:$A$64,0))),"Sem de-para"))</f>
        <v/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 t="str">
        <f aca="false">IF(A54="","",SUM(D54:O54))</f>
        <v/>
      </c>
    </row>
    <row r="55" customFormat="false" ht="15" hidden="false" customHeight="false" outlineLevel="0" collapsed="false">
      <c r="A55" s="11"/>
      <c r="B55" s="12" t="str">
        <f aca="false">IF(A55="","",IFERROR(INDEX(Plano!$B$5:$B$64,MATCH(A55,Plano!$A$5:$A$64,0)),"Conta não cadastrada"))</f>
        <v/>
      </c>
      <c r="C55" s="12" t="str">
        <f aca="false">IF(A55="","",IFERROR(IF(INDEX(Plano!$C$5:$C$64,MATCH(A55,Plano!$A$5:$A$64,0))="","Sem de-para",INDEX(Plano!$C$5:$C$64,MATCH(A55,Plano!$A$5:$A$64,0))),"Sem de-para"))</f>
        <v/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 t="str">
        <f aca="false">IF(A55="","",SUM(D55:O55))</f>
        <v/>
      </c>
    </row>
    <row r="56" customFormat="false" ht="15" hidden="false" customHeight="false" outlineLevel="0" collapsed="false">
      <c r="A56" s="11"/>
      <c r="B56" s="12" t="str">
        <f aca="false">IF(A56="","",IFERROR(INDEX(Plano!$B$5:$B$64,MATCH(A56,Plano!$A$5:$A$64,0)),"Conta não cadastrada"))</f>
        <v/>
      </c>
      <c r="C56" s="12" t="str">
        <f aca="false">IF(A56="","",IFERROR(IF(INDEX(Plano!$C$5:$C$64,MATCH(A56,Plano!$A$5:$A$64,0))="","Sem de-para",INDEX(Plano!$C$5:$C$64,MATCH(A56,Plano!$A$5:$A$64,0))),"Sem de-para"))</f>
        <v/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 t="str">
        <f aca="false">IF(A56="","",SUM(D56:O56))</f>
        <v/>
      </c>
    </row>
    <row r="57" customFormat="false" ht="15" hidden="false" customHeight="false" outlineLevel="0" collapsed="false">
      <c r="A57" s="11"/>
      <c r="B57" s="12" t="str">
        <f aca="false">IF(A57="","",IFERROR(INDEX(Plano!$B$5:$B$64,MATCH(A57,Plano!$A$5:$A$64,0)),"Conta não cadastrada"))</f>
        <v/>
      </c>
      <c r="C57" s="12" t="str">
        <f aca="false">IF(A57="","",IFERROR(IF(INDEX(Plano!$C$5:$C$64,MATCH(A57,Plano!$A$5:$A$64,0))="","Sem de-para",INDEX(Plano!$C$5:$C$64,MATCH(A57,Plano!$A$5:$A$64,0))),"Sem de-para"))</f>
        <v/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7" t="str">
        <f aca="false">IF(A57="","",SUM(D57:O57))</f>
        <v/>
      </c>
    </row>
    <row r="58" customFormat="false" ht="15" hidden="false" customHeight="false" outlineLevel="0" collapsed="false">
      <c r="A58" s="11"/>
      <c r="B58" s="12" t="str">
        <f aca="false">IF(A58="","",IFERROR(INDEX(Plano!$B$5:$B$64,MATCH(A58,Plano!$A$5:$A$64,0)),"Conta não cadastrada"))</f>
        <v/>
      </c>
      <c r="C58" s="12" t="str">
        <f aca="false">IF(A58="","",IFERROR(IF(INDEX(Plano!$C$5:$C$64,MATCH(A58,Plano!$A$5:$A$64,0))="","Sem de-para",INDEX(Plano!$C$5:$C$64,MATCH(A58,Plano!$A$5:$A$64,0))),"Sem de-para"))</f>
        <v/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 t="str">
        <f aca="false">IF(A58="","",SUM(D58:O58))</f>
        <v/>
      </c>
    </row>
    <row r="59" customFormat="false" ht="15" hidden="false" customHeight="false" outlineLevel="0" collapsed="false">
      <c r="A59" s="11"/>
      <c r="B59" s="12" t="str">
        <f aca="false">IF(A59="","",IFERROR(INDEX(Plano!$B$5:$B$64,MATCH(A59,Plano!$A$5:$A$64,0)),"Conta não cadastrada"))</f>
        <v/>
      </c>
      <c r="C59" s="12" t="str">
        <f aca="false">IF(A59="","",IFERROR(IF(INDEX(Plano!$C$5:$C$64,MATCH(A59,Plano!$A$5:$A$64,0))="","Sem de-para",INDEX(Plano!$C$5:$C$64,MATCH(A59,Plano!$A$5:$A$64,0))),"Sem de-para"))</f>
        <v/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 t="str">
        <f aca="false">IF(A59="","",SUM(D59:O59))</f>
        <v/>
      </c>
    </row>
    <row r="60" customFormat="false" ht="15" hidden="false" customHeight="false" outlineLevel="0" collapsed="false">
      <c r="A60" s="11"/>
      <c r="B60" s="12" t="str">
        <f aca="false">IF(A60="","",IFERROR(INDEX(Plano!$B$5:$B$64,MATCH(A60,Plano!$A$5:$A$64,0)),"Conta não cadastrada"))</f>
        <v/>
      </c>
      <c r="C60" s="12" t="str">
        <f aca="false">IF(A60="","",IFERROR(IF(INDEX(Plano!$C$5:$C$64,MATCH(A60,Plano!$A$5:$A$64,0))="","Sem de-para",INDEX(Plano!$C$5:$C$64,MATCH(A60,Plano!$A$5:$A$64,0))),"Sem de-para"))</f>
        <v/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 t="str">
        <f aca="false">IF(A60="","",SUM(D60:O60))</f>
        <v/>
      </c>
    </row>
    <row r="61" customFormat="false" ht="15" hidden="false" customHeight="false" outlineLevel="0" collapsed="false">
      <c r="A61" s="11"/>
      <c r="B61" s="12" t="str">
        <f aca="false">IF(A61="","",IFERROR(INDEX(Plano!$B$5:$B$64,MATCH(A61,Plano!$A$5:$A$64,0)),"Conta não cadastrada"))</f>
        <v/>
      </c>
      <c r="C61" s="12" t="str">
        <f aca="false">IF(A61="","",IFERROR(IF(INDEX(Plano!$C$5:$C$64,MATCH(A61,Plano!$A$5:$A$64,0))="","Sem de-para",INDEX(Plano!$C$5:$C$64,MATCH(A61,Plano!$A$5:$A$64,0))),"Sem de-para"))</f>
        <v/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 t="str">
        <f aca="false">IF(A61="","",SUM(D61:O61))</f>
        <v/>
      </c>
    </row>
    <row r="62" customFormat="false" ht="15" hidden="false" customHeight="false" outlineLevel="0" collapsed="false">
      <c r="A62" s="11"/>
      <c r="B62" s="12" t="str">
        <f aca="false">IF(A62="","",IFERROR(INDEX(Plano!$B$5:$B$64,MATCH(A62,Plano!$A$5:$A$64,0)),"Conta não cadastrada"))</f>
        <v/>
      </c>
      <c r="C62" s="12" t="str">
        <f aca="false">IF(A62="","",IFERROR(IF(INDEX(Plano!$C$5:$C$64,MATCH(A62,Plano!$A$5:$A$64,0))="","Sem de-para",INDEX(Plano!$C$5:$C$64,MATCH(A62,Plano!$A$5:$A$64,0))),"Sem de-para"))</f>
        <v/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 t="str">
        <f aca="false">IF(A62="","",SUM(D62:O62))</f>
        <v/>
      </c>
    </row>
    <row r="63" customFormat="false" ht="15" hidden="false" customHeight="false" outlineLevel="0" collapsed="false">
      <c r="A63" s="11"/>
      <c r="B63" s="12" t="str">
        <f aca="false">IF(A63="","",IFERROR(INDEX(Plano!$B$5:$B$64,MATCH(A63,Plano!$A$5:$A$64,0)),"Conta não cadastrada"))</f>
        <v/>
      </c>
      <c r="C63" s="12" t="str">
        <f aca="false">IF(A63="","",IFERROR(IF(INDEX(Plano!$C$5:$C$64,MATCH(A63,Plano!$A$5:$A$64,0))="","Sem de-para",INDEX(Plano!$C$5:$C$64,MATCH(A63,Plano!$A$5:$A$64,0))),"Sem de-para"))</f>
        <v/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 t="str">
        <f aca="false">IF(A63="","",SUM(D63:O63))</f>
        <v/>
      </c>
    </row>
    <row r="64" customFormat="false" ht="15" hidden="false" customHeight="false" outlineLevel="0" collapsed="false">
      <c r="A64" s="11"/>
      <c r="B64" s="12" t="str">
        <f aca="false">IF(A64="","",IFERROR(INDEX(Plano!$B$5:$B$64,MATCH(A64,Plano!$A$5:$A$64,0)),"Conta não cadastrada"))</f>
        <v/>
      </c>
      <c r="C64" s="12" t="str">
        <f aca="false">IF(A64="","",IFERROR(IF(INDEX(Plano!$C$5:$C$64,MATCH(A64,Plano!$A$5:$A$64,0))="","Sem de-para",INDEX(Plano!$C$5:$C$64,MATCH(A64,Plano!$A$5:$A$64,0))),"Sem de-para"))</f>
        <v/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 t="str">
        <f aca="false">IF(A64="","",SUM(D64:O64))</f>
        <v/>
      </c>
    </row>
    <row r="65" customFormat="false" ht="15" hidden="false" customHeight="false" outlineLevel="0" collapsed="false">
      <c r="A65" s="11"/>
      <c r="B65" s="12" t="str">
        <f aca="false">IF(A65="","",IFERROR(INDEX(Plano!$B$5:$B$64,MATCH(A65,Plano!$A$5:$A$64,0)),"Conta não cadastrada"))</f>
        <v/>
      </c>
      <c r="C65" s="12" t="str">
        <f aca="false">IF(A65="","",IFERROR(IF(INDEX(Plano!$C$5:$C$64,MATCH(A65,Plano!$A$5:$A$64,0))="","Sem de-para",INDEX(Plano!$C$5:$C$64,MATCH(A65,Plano!$A$5:$A$64,0))),"Sem de-para"))</f>
        <v/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7" t="str">
        <f aca="false">IF(A65="","",SUM(D65:O65))</f>
        <v/>
      </c>
    </row>
    <row r="66" customFormat="false" ht="15" hidden="false" customHeight="false" outlineLevel="0" collapsed="false">
      <c r="A66" s="11"/>
      <c r="B66" s="12" t="str">
        <f aca="false">IF(A66="","",IFERROR(INDEX(Plano!$B$5:$B$64,MATCH(A66,Plano!$A$5:$A$64,0)),"Conta não cadastrada"))</f>
        <v/>
      </c>
      <c r="C66" s="12" t="str">
        <f aca="false">IF(A66="","",IFERROR(IF(INDEX(Plano!$C$5:$C$64,MATCH(A66,Plano!$A$5:$A$64,0))="","Sem de-para",INDEX(Plano!$C$5:$C$64,MATCH(A66,Plano!$A$5:$A$64,0))),"Sem de-para"))</f>
        <v/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7" t="str">
        <f aca="false">IF(A66="","",SUM(D66:O66))</f>
        <v/>
      </c>
    </row>
    <row r="67" customFormat="false" ht="15" hidden="false" customHeight="false" outlineLevel="0" collapsed="false">
      <c r="A67" s="11"/>
      <c r="B67" s="12" t="str">
        <f aca="false">IF(A67="","",IFERROR(INDEX(Plano!$B$5:$B$64,MATCH(A67,Plano!$A$5:$A$64,0)),"Conta não cadastrada"))</f>
        <v/>
      </c>
      <c r="C67" s="12" t="str">
        <f aca="false">IF(A67="","",IFERROR(IF(INDEX(Plano!$C$5:$C$64,MATCH(A67,Plano!$A$5:$A$64,0))="","Sem de-para",INDEX(Plano!$C$5:$C$64,MATCH(A67,Plano!$A$5:$A$64,0))),"Sem de-para"))</f>
        <v/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7" t="str">
        <f aca="false">IF(A67="","",SUM(D67:O67))</f>
        <v/>
      </c>
    </row>
    <row r="68" customFormat="false" ht="15" hidden="false" customHeight="false" outlineLevel="0" collapsed="false">
      <c r="A68" s="11"/>
      <c r="B68" s="12" t="str">
        <f aca="false">IF(A68="","",IFERROR(INDEX(Plano!$B$5:$B$64,MATCH(A68,Plano!$A$5:$A$64,0)),"Conta não cadastrada"))</f>
        <v/>
      </c>
      <c r="C68" s="12" t="str">
        <f aca="false">IF(A68="","",IFERROR(IF(INDEX(Plano!$C$5:$C$64,MATCH(A68,Plano!$A$5:$A$64,0))="","Sem de-para",INDEX(Plano!$C$5:$C$64,MATCH(A68,Plano!$A$5:$A$64,0))),"Sem de-para"))</f>
        <v/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7" t="str">
        <f aca="false">IF(A68="","",SUM(D68:O68))</f>
        <v/>
      </c>
    </row>
    <row r="69" customFormat="false" ht="15" hidden="false" customHeight="false" outlineLevel="0" collapsed="false">
      <c r="A69" s="11"/>
      <c r="B69" s="12" t="str">
        <f aca="false">IF(A69="","",IFERROR(INDEX(Plano!$B$5:$B$64,MATCH(A69,Plano!$A$5:$A$64,0)),"Conta não cadastrada"))</f>
        <v/>
      </c>
      <c r="C69" s="12" t="str">
        <f aca="false">IF(A69="","",IFERROR(IF(INDEX(Plano!$C$5:$C$64,MATCH(A69,Plano!$A$5:$A$64,0))="","Sem de-para",INDEX(Plano!$C$5:$C$64,MATCH(A69,Plano!$A$5:$A$64,0))),"Sem de-para"))</f>
        <v/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 t="str">
        <f aca="false">IF(A69="","",SUM(D69:O69))</f>
        <v/>
      </c>
    </row>
    <row r="70" customFormat="false" ht="15" hidden="false" customHeight="false" outlineLevel="0" collapsed="false">
      <c r="A70" s="11"/>
      <c r="B70" s="12" t="str">
        <f aca="false">IF(A70="","",IFERROR(INDEX(Plano!$B$5:$B$64,MATCH(A70,Plano!$A$5:$A$64,0)),"Conta não cadastrada"))</f>
        <v/>
      </c>
      <c r="C70" s="12" t="str">
        <f aca="false">IF(A70="","",IFERROR(IF(INDEX(Plano!$C$5:$C$64,MATCH(A70,Plano!$A$5:$A$64,0))="","Sem de-para",INDEX(Plano!$C$5:$C$64,MATCH(A70,Plano!$A$5:$A$64,0))),"Sem de-para"))</f>
        <v/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7" t="str">
        <f aca="false">IF(A70="","",SUM(D70:O70))</f>
        <v/>
      </c>
    </row>
    <row r="71" customFormat="false" ht="15" hidden="false" customHeight="false" outlineLevel="0" collapsed="false">
      <c r="A71" s="11"/>
      <c r="B71" s="12" t="str">
        <f aca="false">IF(A71="","",IFERROR(INDEX(Plano!$B$5:$B$64,MATCH(A71,Plano!$A$5:$A$64,0)),"Conta não cadastrada"))</f>
        <v/>
      </c>
      <c r="C71" s="12" t="str">
        <f aca="false">IF(A71="","",IFERROR(IF(INDEX(Plano!$C$5:$C$64,MATCH(A71,Plano!$A$5:$A$64,0))="","Sem de-para",INDEX(Plano!$C$5:$C$64,MATCH(A71,Plano!$A$5:$A$64,0))),"Sem de-para"))</f>
        <v/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7" t="str">
        <f aca="false">IF(A71="","",SUM(D71:O71))</f>
        <v/>
      </c>
    </row>
    <row r="72" customFormat="false" ht="15" hidden="false" customHeight="false" outlineLevel="0" collapsed="false">
      <c r="A72" s="11"/>
      <c r="B72" s="12" t="str">
        <f aca="false">IF(A72="","",IFERROR(INDEX(Plano!$B$5:$B$64,MATCH(A72,Plano!$A$5:$A$64,0)),"Conta não cadastrada"))</f>
        <v/>
      </c>
      <c r="C72" s="12" t="str">
        <f aca="false">IF(A72="","",IFERROR(IF(INDEX(Plano!$C$5:$C$64,MATCH(A72,Plano!$A$5:$A$64,0))="","Sem de-para",INDEX(Plano!$C$5:$C$64,MATCH(A72,Plano!$A$5:$A$64,0))),"Sem de-para"))</f>
        <v/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7" t="str">
        <f aca="false">IF(A72="","",SUM(D72:O72))</f>
        <v/>
      </c>
    </row>
    <row r="73" customFormat="false" ht="15" hidden="false" customHeight="false" outlineLevel="0" collapsed="false">
      <c r="A73" s="11"/>
      <c r="B73" s="12" t="str">
        <f aca="false">IF(A73="","",IFERROR(INDEX(Plano!$B$5:$B$64,MATCH(A73,Plano!$A$5:$A$64,0)),"Conta não cadastrada"))</f>
        <v/>
      </c>
      <c r="C73" s="12" t="str">
        <f aca="false">IF(A73="","",IFERROR(IF(INDEX(Plano!$C$5:$C$64,MATCH(A73,Plano!$A$5:$A$64,0))="","Sem de-para",INDEX(Plano!$C$5:$C$64,MATCH(A73,Plano!$A$5:$A$64,0))),"Sem de-para"))</f>
        <v/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7" t="str">
        <f aca="false">IF(A73="","",SUM(D73:O73))</f>
        <v/>
      </c>
    </row>
    <row r="74" customFormat="false" ht="15" hidden="false" customHeight="false" outlineLevel="0" collapsed="false">
      <c r="A74" s="11"/>
      <c r="B74" s="12" t="str">
        <f aca="false">IF(A74="","",IFERROR(INDEX(Plano!$B$5:$B$64,MATCH(A74,Plano!$A$5:$A$64,0)),"Conta não cadastrada"))</f>
        <v/>
      </c>
      <c r="C74" s="12" t="str">
        <f aca="false">IF(A74="","",IFERROR(IF(INDEX(Plano!$C$5:$C$64,MATCH(A74,Plano!$A$5:$A$64,0))="","Sem de-para",INDEX(Plano!$C$5:$C$64,MATCH(A74,Plano!$A$5:$A$64,0))),"Sem de-para"))</f>
        <v/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7" t="str">
        <f aca="false">IF(A74="","",SUM(D74:O74))</f>
        <v/>
      </c>
    </row>
    <row r="75" customFormat="false" ht="15" hidden="false" customHeight="false" outlineLevel="0" collapsed="false">
      <c r="A75" s="11"/>
      <c r="B75" s="12" t="str">
        <f aca="false">IF(A75="","",IFERROR(INDEX(Plano!$B$5:$B$64,MATCH(A75,Plano!$A$5:$A$64,0)),"Conta não cadastrada"))</f>
        <v/>
      </c>
      <c r="C75" s="12" t="str">
        <f aca="false">IF(A75="","",IFERROR(IF(INDEX(Plano!$C$5:$C$64,MATCH(A75,Plano!$A$5:$A$64,0))="","Sem de-para",INDEX(Plano!$C$5:$C$64,MATCH(A75,Plano!$A$5:$A$64,0))),"Sem de-para"))</f>
        <v/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7" t="str">
        <f aca="false">IF(A75="","",SUM(D75:O75))</f>
        <v/>
      </c>
    </row>
    <row r="76" customFormat="false" ht="15" hidden="false" customHeight="false" outlineLevel="0" collapsed="false">
      <c r="A76" s="11"/>
      <c r="B76" s="12" t="str">
        <f aca="false">IF(A76="","",IFERROR(INDEX(Plano!$B$5:$B$64,MATCH(A76,Plano!$A$5:$A$64,0)),"Conta não cadastrada"))</f>
        <v/>
      </c>
      <c r="C76" s="12" t="str">
        <f aca="false">IF(A76="","",IFERROR(IF(INDEX(Plano!$C$5:$C$64,MATCH(A76,Plano!$A$5:$A$64,0))="","Sem de-para",INDEX(Plano!$C$5:$C$64,MATCH(A76,Plano!$A$5:$A$64,0))),"Sem de-para"))</f>
        <v/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7" t="str">
        <f aca="false">IF(A76="","",SUM(D76:O76))</f>
        <v/>
      </c>
    </row>
    <row r="77" customFormat="false" ht="15" hidden="false" customHeight="false" outlineLevel="0" collapsed="false">
      <c r="A77" s="11"/>
      <c r="B77" s="12" t="str">
        <f aca="false">IF(A77="","",IFERROR(INDEX(Plano!$B$5:$B$64,MATCH(A77,Plano!$A$5:$A$64,0)),"Conta não cadastrada"))</f>
        <v/>
      </c>
      <c r="C77" s="12" t="str">
        <f aca="false">IF(A77="","",IFERROR(IF(INDEX(Plano!$C$5:$C$64,MATCH(A77,Plano!$A$5:$A$64,0))="","Sem de-para",INDEX(Plano!$C$5:$C$64,MATCH(A77,Plano!$A$5:$A$64,0))),"Sem de-para"))</f>
        <v/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7" t="str">
        <f aca="false">IF(A77="","",SUM(D77:O77))</f>
        <v/>
      </c>
    </row>
    <row r="78" customFormat="false" ht="15" hidden="false" customHeight="false" outlineLevel="0" collapsed="false">
      <c r="A78" s="11"/>
      <c r="B78" s="12" t="str">
        <f aca="false">IF(A78="","",IFERROR(INDEX(Plano!$B$5:$B$64,MATCH(A78,Plano!$A$5:$A$64,0)),"Conta não cadastrada"))</f>
        <v/>
      </c>
      <c r="C78" s="12" t="str">
        <f aca="false">IF(A78="","",IFERROR(IF(INDEX(Plano!$C$5:$C$64,MATCH(A78,Plano!$A$5:$A$64,0))="","Sem de-para",INDEX(Plano!$C$5:$C$64,MATCH(A78,Plano!$A$5:$A$64,0))),"Sem de-para"))</f>
        <v/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7" t="str">
        <f aca="false">IF(A78="","",SUM(D78:O78))</f>
        <v/>
      </c>
    </row>
    <row r="79" customFormat="false" ht="15" hidden="false" customHeight="false" outlineLevel="0" collapsed="false">
      <c r="A79" s="11"/>
      <c r="B79" s="12" t="str">
        <f aca="false">IF(A79="","",IFERROR(INDEX(Plano!$B$5:$B$64,MATCH(A79,Plano!$A$5:$A$64,0)),"Conta não cadastrada"))</f>
        <v/>
      </c>
      <c r="C79" s="12" t="str">
        <f aca="false">IF(A79="","",IFERROR(IF(INDEX(Plano!$C$5:$C$64,MATCH(A79,Plano!$A$5:$A$64,0))="","Sem de-para",INDEX(Plano!$C$5:$C$64,MATCH(A79,Plano!$A$5:$A$64,0))),"Sem de-para"))</f>
        <v/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7" t="str">
        <f aca="false">IF(A79="","",SUM(D79:O79))</f>
        <v/>
      </c>
    </row>
    <row r="80" customFormat="false" ht="15" hidden="false" customHeight="false" outlineLevel="0" collapsed="false">
      <c r="A80" s="11"/>
      <c r="B80" s="12" t="str">
        <f aca="false">IF(A80="","",IFERROR(INDEX(Plano!$B$5:$B$64,MATCH(A80,Plano!$A$5:$A$64,0)),"Conta não cadastrada"))</f>
        <v/>
      </c>
      <c r="C80" s="12" t="str">
        <f aca="false">IF(A80="","",IFERROR(IF(INDEX(Plano!$C$5:$C$64,MATCH(A80,Plano!$A$5:$A$64,0))="","Sem de-para",INDEX(Plano!$C$5:$C$64,MATCH(A80,Plano!$A$5:$A$64,0))),"Sem de-para"))</f>
        <v/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7" t="str">
        <f aca="false">IF(A80="","",SUM(D80:O80))</f>
        <v/>
      </c>
    </row>
    <row r="81" customFormat="false" ht="15" hidden="false" customHeight="false" outlineLevel="0" collapsed="false">
      <c r="A81" s="11"/>
      <c r="B81" s="12" t="str">
        <f aca="false">IF(A81="","",IFERROR(INDEX(Plano!$B$5:$B$64,MATCH(A81,Plano!$A$5:$A$64,0)),"Conta não cadastrada"))</f>
        <v/>
      </c>
      <c r="C81" s="12" t="str">
        <f aca="false">IF(A81="","",IFERROR(IF(INDEX(Plano!$C$5:$C$64,MATCH(A81,Plano!$A$5:$A$64,0))="","Sem de-para",INDEX(Plano!$C$5:$C$64,MATCH(A81,Plano!$A$5:$A$64,0))),"Sem de-para"))</f>
        <v/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7" t="str">
        <f aca="false">IF(A81="","",SUM(D81:O81))</f>
        <v/>
      </c>
    </row>
    <row r="82" customFormat="false" ht="15" hidden="false" customHeight="false" outlineLevel="0" collapsed="false">
      <c r="A82" s="11"/>
      <c r="B82" s="12" t="str">
        <f aca="false">IF(A82="","",IFERROR(INDEX(Plano!$B$5:$B$64,MATCH(A82,Plano!$A$5:$A$64,0)),"Conta não cadastrada"))</f>
        <v/>
      </c>
      <c r="C82" s="12" t="str">
        <f aca="false">IF(A82="","",IFERROR(IF(INDEX(Plano!$C$5:$C$64,MATCH(A82,Plano!$A$5:$A$64,0))="","Sem de-para",INDEX(Plano!$C$5:$C$64,MATCH(A82,Plano!$A$5:$A$64,0))),"Sem de-para"))</f>
        <v/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7" t="str">
        <f aca="false">IF(A82="","",SUM(D82:O82))</f>
        <v/>
      </c>
    </row>
    <row r="83" customFormat="false" ht="15" hidden="false" customHeight="false" outlineLevel="0" collapsed="false">
      <c r="A83" s="11"/>
      <c r="B83" s="12" t="str">
        <f aca="false">IF(A83="","",IFERROR(INDEX(Plano!$B$5:$B$64,MATCH(A83,Plano!$A$5:$A$64,0)),"Conta não cadastrada"))</f>
        <v/>
      </c>
      <c r="C83" s="12" t="str">
        <f aca="false">IF(A83="","",IFERROR(IF(INDEX(Plano!$C$5:$C$64,MATCH(A83,Plano!$A$5:$A$64,0))="","Sem de-para",INDEX(Plano!$C$5:$C$64,MATCH(A83,Plano!$A$5:$A$64,0))),"Sem de-para"))</f>
        <v/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7" t="str">
        <f aca="false">IF(A83="","",SUM(D83:O83))</f>
        <v/>
      </c>
    </row>
    <row r="84" customFormat="false" ht="15" hidden="false" customHeight="false" outlineLevel="0" collapsed="false">
      <c r="A84" s="11"/>
      <c r="B84" s="12" t="str">
        <f aca="false">IF(A84="","",IFERROR(INDEX(Plano!$B$5:$B$64,MATCH(A84,Plano!$A$5:$A$64,0)),"Conta não cadastrada"))</f>
        <v/>
      </c>
      <c r="C84" s="12" t="str">
        <f aca="false">IF(A84="","",IFERROR(IF(INDEX(Plano!$C$5:$C$64,MATCH(A84,Plano!$A$5:$A$64,0))="","Sem de-para",INDEX(Plano!$C$5:$C$64,MATCH(A84,Plano!$A$5:$A$64,0))),"Sem de-para"))</f>
        <v/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7" t="str">
        <f aca="false">IF(A84="","",SUM(D84:O84))</f>
        <v/>
      </c>
    </row>
    <row r="85" customFormat="false" ht="15" hidden="false" customHeight="false" outlineLevel="0" collapsed="false">
      <c r="A85" s="11"/>
      <c r="B85" s="12" t="str">
        <f aca="false">IF(A85="","",IFERROR(INDEX(Plano!$B$5:$B$64,MATCH(A85,Plano!$A$5:$A$64,0)),"Conta não cadastrada"))</f>
        <v/>
      </c>
      <c r="C85" s="12" t="str">
        <f aca="false">IF(A85="","",IFERROR(IF(INDEX(Plano!$C$5:$C$64,MATCH(A85,Plano!$A$5:$A$64,0))="","Sem de-para",INDEX(Plano!$C$5:$C$64,MATCH(A85,Plano!$A$5:$A$64,0))),"Sem de-para"))</f>
        <v/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7" t="str">
        <f aca="false">IF(A85="","",SUM(D85:O85))</f>
        <v/>
      </c>
    </row>
    <row r="86" customFormat="false" ht="15" hidden="false" customHeight="false" outlineLevel="0" collapsed="false">
      <c r="A86" s="18" t="s">
        <v>127</v>
      </c>
      <c r="D86" s="19" t="n">
        <f aca="false">SUM(D6:D85)</f>
        <v>2057224</v>
      </c>
      <c r="E86" s="19" t="n">
        <f aca="false">SUM(E6:E85)</f>
        <v>2098811</v>
      </c>
      <c r="F86" s="19" t="n">
        <f aca="false">SUM(F6:F85)</f>
        <v>2285641</v>
      </c>
      <c r="G86" s="19" t="n">
        <f aca="false">SUM(G6:G85)</f>
        <v>2233664</v>
      </c>
      <c r="H86" s="19" t="n">
        <f aca="false">SUM(H6:H85)</f>
        <v>2334070</v>
      </c>
      <c r="I86" s="19" t="n">
        <f aca="false">SUM(I6:I85)</f>
        <v>2264061</v>
      </c>
      <c r="J86" s="19" t="n">
        <f aca="false">SUM(J6:J85)</f>
        <v>2212924</v>
      </c>
      <c r="K86" s="19" t="n">
        <f aca="false">SUM(K6:K85)</f>
        <v>2310333</v>
      </c>
      <c r="L86" s="19" t="n">
        <f aca="false">SUM(L6:L85)</f>
        <v>2371537</v>
      </c>
      <c r="M86" s="19" t="n">
        <f aca="false">SUM(M6:M85)</f>
        <v>2431984</v>
      </c>
      <c r="N86" s="19" t="n">
        <f aca="false">SUM(N6:N85)</f>
        <v>2475254</v>
      </c>
      <c r="O86" s="19" t="n">
        <f aca="false">SUM(O6:O85)</f>
        <v>2565750</v>
      </c>
      <c r="P86" s="19" t="n">
        <f aca="false">SUM(P6:P85)</f>
        <v>27641253</v>
      </c>
    </row>
    <row r="88" customFormat="false" ht="15" hidden="false" customHeight="false" outlineLevel="0" collapsed="false">
      <c r="A88" s="8" t="s">
        <v>29</v>
      </c>
    </row>
  </sheetData>
  <conditionalFormatting sqref="C6:C85">
    <cfRule type="expression" priority="2" aboveAverage="0" equalAverage="0" bottom="0" percent="0" rank="0" text="" dxfId="0">
      <formula>C6="Sem de-para"</formula>
    </cfRule>
  </conditionalFormatting>
  <conditionalFormatting sqref="C3:D3">
    <cfRule type="expression" priority="3" aboveAverage="0" equalAverage="0" bottom="0" percent="0" rank="0" text="" dxfId="0">
      <formula>$C$3&gt;0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2.5"/>
    <col collapsed="false" customWidth="true" hidden="false" outlineLevel="0" max="14" min="14" style="0" width="15"/>
    <col collapsed="false" customWidth="true" hidden="false" outlineLevel="0" max="15" min="15" style="0" width="8.5"/>
  </cols>
  <sheetData>
    <row r="1" customFormat="false" ht="19.7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21.75" hidden="false" customHeight="true" outlineLevel="0" collapsed="false">
      <c r="A4" s="9" t="s">
        <v>34</v>
      </c>
      <c r="B4" s="10" t="s">
        <v>114</v>
      </c>
      <c r="C4" s="10" t="s">
        <v>115</v>
      </c>
      <c r="D4" s="10" t="s">
        <v>116</v>
      </c>
      <c r="E4" s="10" t="s">
        <v>117</v>
      </c>
      <c r="F4" s="10" t="s">
        <v>118</v>
      </c>
      <c r="G4" s="10" t="s">
        <v>119</v>
      </c>
      <c r="H4" s="10" t="s">
        <v>120</v>
      </c>
      <c r="I4" s="10" t="s">
        <v>121</v>
      </c>
      <c r="J4" s="10" t="s">
        <v>122</v>
      </c>
      <c r="K4" s="10" t="s">
        <v>123</v>
      </c>
      <c r="L4" s="10" t="s">
        <v>124</v>
      </c>
      <c r="M4" s="10" t="s">
        <v>125</v>
      </c>
      <c r="N4" s="20" t="s">
        <v>126</v>
      </c>
      <c r="O4" s="10" t="s">
        <v>130</v>
      </c>
    </row>
    <row r="5" customFormat="false" ht="15" hidden="false" customHeight="false" outlineLevel="0" collapsed="false">
      <c r="A5" s="21" t="s">
        <v>39</v>
      </c>
    </row>
    <row r="6" customFormat="false" ht="15" hidden="false" customHeight="false" outlineLevel="0" collapsed="false">
      <c r="A6" s="22" t="s">
        <v>131</v>
      </c>
      <c r="B6" s="23" t="n">
        <f aca="false">SUMIFS(Lançamentos!D$6:D$85,Lançamentos!$C$6:$C$85,"Receita de produtos")</f>
        <v>686400</v>
      </c>
      <c r="C6" s="23" t="n">
        <f aca="false">SUMIFS(Lançamentos!E$6:E$85,Lançamentos!$C$6:$C$85,"Receita de produtos")</f>
        <v>702000</v>
      </c>
      <c r="D6" s="23" t="n">
        <f aca="false">SUMIFS(Lançamentos!F$6:F$85,Lançamentos!$C$6:$C$85,"Receita de produtos")</f>
        <v>780000</v>
      </c>
      <c r="E6" s="23" t="n">
        <f aca="false">SUMIFS(Lançamentos!G$6:G$85,Lançamentos!$C$6:$C$85,"Receita de produtos")</f>
        <v>756600</v>
      </c>
      <c r="F6" s="23" t="n">
        <f aca="false">SUMIFS(Lançamentos!H$6:H$85,Lançamentos!$C$6:$C$85,"Receita de produtos")</f>
        <v>795600</v>
      </c>
      <c r="G6" s="23" t="n">
        <f aca="false">SUMIFS(Lançamentos!I$6:I$85,Lançamentos!$C$6:$C$85,"Receita de produtos")</f>
        <v>764400</v>
      </c>
      <c r="H6" s="23" t="n">
        <f aca="false">SUMIFS(Lançamentos!J$6:J$85,Lançamentos!$C$6:$C$85,"Receita de produtos")</f>
        <v>741000</v>
      </c>
      <c r="I6" s="23" t="n">
        <f aca="false">SUMIFS(Lançamentos!K$6:K$85,Lançamentos!$C$6:$C$85,"Receita de produtos")</f>
        <v>780000</v>
      </c>
      <c r="J6" s="23" t="n">
        <f aca="false">SUMIFS(Lançamentos!L$6:L$85,Lançamentos!$C$6:$C$85,"Receita de produtos")</f>
        <v>803400</v>
      </c>
      <c r="K6" s="23" t="n">
        <f aca="false">SUMIFS(Lançamentos!M$6:M$85,Lançamentos!$C$6:$C$85,"Receita de produtos")</f>
        <v>826800</v>
      </c>
      <c r="L6" s="23" t="n">
        <f aca="false">SUMIFS(Lançamentos!N$6:N$85,Lançamentos!$C$6:$C$85,"Receita de produtos")</f>
        <v>842400</v>
      </c>
      <c r="M6" s="23" t="n">
        <f aca="false">SUMIFS(Lançamentos!O$6:O$85,Lançamentos!$C$6:$C$85,"Receita de produtos")</f>
        <v>881400</v>
      </c>
      <c r="N6" s="23" t="n">
        <f aca="false">SUM(B6:M6)</f>
        <v>9360000</v>
      </c>
      <c r="O6" s="24" t="n">
        <f aca="false">IFERROR(N6/$N$13,0)</f>
        <v>0.837152468808245</v>
      </c>
    </row>
    <row r="7" customFormat="false" ht="15" hidden="false" customHeight="false" outlineLevel="0" collapsed="false">
      <c r="A7" s="22" t="s">
        <v>132</v>
      </c>
      <c r="B7" s="23" t="n">
        <f aca="false">SUMIFS(Lançamentos!D$6:D$85,Lançamentos!$C$6:$C$85,"Receita de serviços")</f>
        <v>184800</v>
      </c>
      <c r="C7" s="23" t="n">
        <f aca="false">SUMIFS(Lançamentos!E$6:E$85,Lançamentos!$C$6:$C$85,"Receita de serviços")</f>
        <v>189000</v>
      </c>
      <c r="D7" s="23" t="n">
        <f aca="false">SUMIFS(Lançamentos!F$6:F$85,Lançamentos!$C$6:$C$85,"Receita de serviços")</f>
        <v>210000</v>
      </c>
      <c r="E7" s="23" t="n">
        <f aca="false">SUMIFS(Lançamentos!G$6:G$85,Lançamentos!$C$6:$C$85,"Receita de serviços")</f>
        <v>203700</v>
      </c>
      <c r="F7" s="23" t="n">
        <f aca="false">SUMIFS(Lançamentos!H$6:H$85,Lançamentos!$C$6:$C$85,"Receita de serviços")</f>
        <v>214200</v>
      </c>
      <c r="G7" s="23" t="n">
        <f aca="false">SUMIFS(Lançamentos!I$6:I$85,Lançamentos!$C$6:$C$85,"Receita de serviços")</f>
        <v>205800</v>
      </c>
      <c r="H7" s="23" t="n">
        <f aca="false">SUMIFS(Lançamentos!J$6:J$85,Lançamentos!$C$6:$C$85,"Receita de serviços")</f>
        <v>199500</v>
      </c>
      <c r="I7" s="23" t="n">
        <f aca="false">SUMIFS(Lançamentos!K$6:K$85,Lançamentos!$C$6:$C$85,"Receita de serviços")</f>
        <v>210000</v>
      </c>
      <c r="J7" s="23" t="n">
        <f aca="false">SUMIFS(Lançamentos!L$6:L$85,Lançamentos!$C$6:$C$85,"Receita de serviços")</f>
        <v>216300</v>
      </c>
      <c r="K7" s="23" t="n">
        <f aca="false">SUMIFS(Lançamentos!M$6:M$85,Lançamentos!$C$6:$C$85,"Receita de serviços")</f>
        <v>222600</v>
      </c>
      <c r="L7" s="23" t="n">
        <f aca="false">SUMIFS(Lançamentos!N$6:N$85,Lançamentos!$C$6:$C$85,"Receita de serviços")</f>
        <v>226800</v>
      </c>
      <c r="M7" s="23" t="n">
        <f aca="false">SUMIFS(Lançamentos!O$6:O$85,Lançamentos!$C$6:$C$85,"Receita de serviços")</f>
        <v>237300</v>
      </c>
      <c r="N7" s="23" t="n">
        <f aca="false">SUM(B7:M7)</f>
        <v>2520000</v>
      </c>
      <c r="O7" s="24" t="n">
        <f aca="false">IFERROR(N7/$N$13,0)</f>
        <v>0.225387203140681</v>
      </c>
    </row>
    <row r="8" customFormat="false" ht="15" hidden="false" customHeight="false" outlineLevel="0" collapsed="false">
      <c r="A8" s="22" t="s">
        <v>133</v>
      </c>
      <c r="B8" s="23" t="n">
        <f aca="false">SUMIFS(Lançamentos!D$6:D$85,Lançamentos!$C$6:$C$85,"Receita recorrente (contratos)")</f>
        <v>160000</v>
      </c>
      <c r="C8" s="23" t="n">
        <f aca="false">SUMIFS(Lançamentos!E$6:E$85,Lançamentos!$C$6:$C$85,"Receita recorrente (contratos)")</f>
        <v>162400</v>
      </c>
      <c r="D8" s="23" t="n">
        <f aca="false">SUMIFS(Lançamentos!F$6:F$85,Lançamentos!$C$6:$C$85,"Receita recorrente (contratos)")</f>
        <v>164800</v>
      </c>
      <c r="E8" s="23" t="n">
        <f aca="false">SUMIFS(Lançamentos!G$6:G$85,Lançamentos!$C$6:$C$85,"Receita recorrente (contratos)")</f>
        <v>167300</v>
      </c>
      <c r="F8" s="23" t="n">
        <f aca="false">SUMIFS(Lançamentos!H$6:H$85,Lançamentos!$C$6:$C$85,"Receita recorrente (contratos)")</f>
        <v>169800</v>
      </c>
      <c r="G8" s="23" t="n">
        <f aca="false">SUMIFS(Lançamentos!I$6:I$85,Lançamentos!$C$6:$C$85,"Receita recorrente (contratos)")</f>
        <v>172400</v>
      </c>
      <c r="H8" s="23" t="n">
        <f aca="false">SUMIFS(Lançamentos!J$6:J$85,Lançamentos!$C$6:$C$85,"Receita recorrente (contratos)")</f>
        <v>175000</v>
      </c>
      <c r="I8" s="23" t="n">
        <f aca="false">SUMIFS(Lançamentos!K$6:K$85,Lançamentos!$C$6:$C$85,"Receita recorrente (contratos)")</f>
        <v>177600</v>
      </c>
      <c r="J8" s="23" t="n">
        <f aca="false">SUMIFS(Lançamentos!L$6:L$85,Lançamentos!$C$6:$C$85,"Receita recorrente (contratos)")</f>
        <v>180200</v>
      </c>
      <c r="K8" s="23" t="n">
        <f aca="false">SUMIFS(Lançamentos!M$6:M$85,Lançamentos!$C$6:$C$85,"Receita recorrente (contratos)")</f>
        <v>182900</v>
      </c>
      <c r="L8" s="23" t="n">
        <f aca="false">SUMIFS(Lançamentos!N$6:N$85,Lançamentos!$C$6:$C$85,"Receita recorrente (contratos)")</f>
        <v>185700</v>
      </c>
      <c r="M8" s="23" t="n">
        <f aca="false">SUMIFS(Lançamentos!O$6:O$85,Lançamentos!$C$6:$C$85,"Receita recorrente (contratos)")</f>
        <v>188500</v>
      </c>
      <c r="N8" s="23" t="n">
        <f aca="false">SUM(B8:M8)</f>
        <v>2086600</v>
      </c>
      <c r="O8" s="24" t="n">
        <f aca="false">IFERROR(N8/$N$13,0)</f>
        <v>0.186624181775137</v>
      </c>
    </row>
    <row r="9" customFormat="false" ht="15" hidden="false" customHeight="false" outlineLevel="0" collapsed="false">
      <c r="A9" s="25" t="s">
        <v>39</v>
      </c>
      <c r="B9" s="26" t="n">
        <f aca="false">SUM(B6:B8)</f>
        <v>1031200</v>
      </c>
      <c r="C9" s="26" t="n">
        <f aca="false">SUM(C6:C8)</f>
        <v>1053400</v>
      </c>
      <c r="D9" s="26" t="n">
        <f aca="false">SUM(D6:D8)</f>
        <v>1154800</v>
      </c>
      <c r="E9" s="26" t="n">
        <f aca="false">SUM(E6:E8)</f>
        <v>1127600</v>
      </c>
      <c r="F9" s="26" t="n">
        <f aca="false">SUM(F6:F8)</f>
        <v>1179600</v>
      </c>
      <c r="G9" s="26" t="n">
        <f aca="false">SUM(G6:G8)</f>
        <v>1142600</v>
      </c>
      <c r="H9" s="26" t="n">
        <f aca="false">SUM(H6:H8)</f>
        <v>1115500</v>
      </c>
      <c r="I9" s="26" t="n">
        <f aca="false">SUM(I6:I8)</f>
        <v>1167600</v>
      </c>
      <c r="J9" s="26" t="n">
        <f aca="false">SUM(J6:J8)</f>
        <v>1199900</v>
      </c>
      <c r="K9" s="26" t="n">
        <f aca="false">SUM(K6:K8)</f>
        <v>1232300</v>
      </c>
      <c r="L9" s="26" t="n">
        <f aca="false">SUM(L6:L8)</f>
        <v>1254900</v>
      </c>
      <c r="M9" s="26" t="n">
        <f aca="false">SUM(M6:M8)</f>
        <v>1307200</v>
      </c>
      <c r="N9" s="26" t="n">
        <f aca="false">SUM(N6:N8)</f>
        <v>13966600</v>
      </c>
      <c r="O9" s="27" t="n">
        <f aca="false">IFERROR(N9/$N$13,0)</f>
        <v>1.24916385372406</v>
      </c>
    </row>
    <row r="10" customFormat="false" ht="15" hidden="false" customHeight="false" outlineLevel="0" collapsed="false">
      <c r="A10" s="21" t="s">
        <v>134</v>
      </c>
    </row>
    <row r="11" customFormat="false" ht="15" hidden="false" customHeight="false" outlineLevel="0" collapsed="false">
      <c r="A11" s="22" t="s">
        <v>135</v>
      </c>
      <c r="B11" s="23" t="n">
        <f aca="false">-SUMIFS(Lançamentos!D$6:D$85,Lançamentos!$C$6:$C$85,"Impostos sobre vendas")</f>
        <v>-194994</v>
      </c>
      <c r="C11" s="23" t="n">
        <f aca="false">-SUMIFS(Lançamentos!E$6:E$85,Lançamentos!$C$6:$C$85,"Impostos sobre vendas")</f>
        <v>-199250</v>
      </c>
      <c r="D11" s="23" t="n">
        <f aca="false">-SUMIFS(Lançamentos!F$6:F$85,Lançamentos!$C$6:$C$85,"Impostos sobre vendas")</f>
        <v>-219159</v>
      </c>
      <c r="E11" s="23" t="n">
        <f aca="false">-SUMIFS(Lançamentos!G$6:G$85,Lançamentos!$C$6:$C$85,"Impostos sobre vendas")</f>
        <v>-213645</v>
      </c>
      <c r="F11" s="23" t="n">
        <f aca="false">-SUMIFS(Lançamentos!H$6:H$85,Lançamentos!$C$6:$C$85,"Impostos sobre vendas")</f>
        <v>-223785</v>
      </c>
      <c r="G11" s="23" t="n">
        <f aca="false">-SUMIFS(Lançamentos!I$6:I$85,Lançamentos!$C$6:$C$85,"Impostos sobre vendas")</f>
        <v>-216328</v>
      </c>
      <c r="H11" s="23" t="n">
        <f aca="false">-SUMIFS(Lançamentos!J$6:J$85,Lançamentos!$C$6:$C$85,"Impostos sobre vendas")</f>
        <v>-210829</v>
      </c>
      <c r="I11" s="23" t="n">
        <f aca="false">-SUMIFS(Lançamentos!K$6:K$85,Lançamentos!$C$6:$C$85,"Impostos sobre vendas")</f>
        <v>-220983</v>
      </c>
      <c r="J11" s="23" t="n">
        <f aca="false">-SUMIFS(Lançamentos!L$6:L$85,Lançamentos!$C$6:$C$85,"Impostos sobre vendas")</f>
        <v>-227224</v>
      </c>
      <c r="K11" s="23" t="n">
        <f aca="false">-SUMIFS(Lançamentos!M$6:M$85,Lançamentos!$C$6:$C$85,"Impostos sobre vendas")</f>
        <v>-233479</v>
      </c>
      <c r="L11" s="23" t="n">
        <f aca="false">-SUMIFS(Lançamentos!N$6:N$85,Lançamentos!$C$6:$C$85,"Impostos sobre vendas")</f>
        <v>-237791</v>
      </c>
      <c r="M11" s="23" t="n">
        <f aca="false">-SUMIFS(Lançamentos!O$6:O$85,Lançamentos!$C$6:$C$85,"Impostos sobre vendas")</f>
        <v>-247974</v>
      </c>
      <c r="N11" s="23" t="n">
        <f aca="false">SUM(B11:M11)</f>
        <v>-2645441</v>
      </c>
      <c r="O11" s="24" t="n">
        <f aca="false">IFERROR(N11/$N$13,0)</f>
        <v>-0.236606566691939</v>
      </c>
    </row>
    <row r="12" customFormat="false" ht="15" hidden="false" customHeight="false" outlineLevel="0" collapsed="false">
      <c r="A12" s="22" t="s">
        <v>136</v>
      </c>
      <c r="B12" s="23" t="n">
        <f aca="false">-SUMIFS(Lançamentos!D$6:D$85,Lançamentos!$C$6:$C$85,"Devoluções e abatimentos")</f>
        <v>-10296</v>
      </c>
      <c r="C12" s="23" t="n">
        <f aca="false">-SUMIFS(Lançamentos!E$6:E$85,Lançamentos!$C$6:$C$85,"Devoluções e abatimentos")</f>
        <v>-10530</v>
      </c>
      <c r="D12" s="23" t="n">
        <f aca="false">-SUMIFS(Lançamentos!F$6:F$85,Lançamentos!$C$6:$C$85,"Devoluções e abatimentos")</f>
        <v>-11700</v>
      </c>
      <c r="E12" s="23" t="n">
        <f aca="false">-SUMIFS(Lançamentos!G$6:G$85,Lançamentos!$C$6:$C$85,"Devoluções e abatimentos")</f>
        <v>-11349</v>
      </c>
      <c r="F12" s="23" t="n">
        <f aca="false">-SUMIFS(Lançamentos!H$6:H$85,Lançamentos!$C$6:$C$85,"Devoluções e abatimentos")</f>
        <v>-11934</v>
      </c>
      <c r="G12" s="23" t="n">
        <f aca="false">-SUMIFS(Lançamentos!I$6:I$85,Lançamentos!$C$6:$C$85,"Devoluções e abatimentos")</f>
        <v>-11466</v>
      </c>
      <c r="H12" s="23" t="n">
        <f aca="false">-SUMIFS(Lançamentos!J$6:J$85,Lançamentos!$C$6:$C$85,"Devoluções e abatimentos")</f>
        <v>-11115</v>
      </c>
      <c r="I12" s="23" t="n">
        <f aca="false">-SUMIFS(Lançamentos!K$6:K$85,Lançamentos!$C$6:$C$85,"Devoluções e abatimentos")</f>
        <v>-11700</v>
      </c>
      <c r="J12" s="23" t="n">
        <f aca="false">-SUMIFS(Lançamentos!L$6:L$85,Lançamentos!$C$6:$C$85,"Devoluções e abatimentos")</f>
        <v>-12051</v>
      </c>
      <c r="K12" s="23" t="n">
        <f aca="false">-SUMIFS(Lançamentos!M$6:M$85,Lançamentos!$C$6:$C$85,"Devoluções e abatimentos")</f>
        <v>-12402</v>
      </c>
      <c r="L12" s="23" t="n">
        <f aca="false">-SUMIFS(Lançamentos!N$6:N$85,Lançamentos!$C$6:$C$85,"Devoluções e abatimentos")</f>
        <v>-12636</v>
      </c>
      <c r="M12" s="23" t="n">
        <f aca="false">-SUMIFS(Lançamentos!O$6:O$85,Lançamentos!$C$6:$C$85,"Devoluções e abatimentos")</f>
        <v>-13221</v>
      </c>
      <c r="N12" s="23" t="n">
        <f aca="false">SUM(B12:M12)</f>
        <v>-140400</v>
      </c>
      <c r="O12" s="24" t="n">
        <f aca="false">IFERROR(N12/$N$13,0)</f>
        <v>-0.0125572870321237</v>
      </c>
    </row>
    <row r="13" customFormat="false" ht="15" hidden="false" customHeight="false" outlineLevel="0" collapsed="false">
      <c r="A13" s="25" t="s">
        <v>137</v>
      </c>
      <c r="B13" s="26" t="n">
        <f aca="false">B9+SUM(B11:B12)</f>
        <v>825910</v>
      </c>
      <c r="C13" s="26" t="n">
        <f aca="false">C9+SUM(C11:C12)</f>
        <v>843620</v>
      </c>
      <c r="D13" s="26" t="n">
        <f aca="false">D9+SUM(D11:D12)</f>
        <v>923941</v>
      </c>
      <c r="E13" s="26" t="n">
        <f aca="false">E9+SUM(E11:E12)</f>
        <v>902606</v>
      </c>
      <c r="F13" s="26" t="n">
        <f aca="false">F9+SUM(F11:F12)</f>
        <v>943881</v>
      </c>
      <c r="G13" s="26" t="n">
        <f aca="false">G9+SUM(G11:G12)</f>
        <v>914806</v>
      </c>
      <c r="H13" s="26" t="n">
        <f aca="false">H9+SUM(H11:H12)</f>
        <v>893556</v>
      </c>
      <c r="I13" s="26" t="n">
        <f aca="false">I9+SUM(I11:I12)</f>
        <v>934917</v>
      </c>
      <c r="J13" s="26" t="n">
        <f aca="false">J9+SUM(J11:J12)</f>
        <v>960625</v>
      </c>
      <c r="K13" s="26" t="n">
        <f aca="false">K9+SUM(K11:K12)</f>
        <v>986419</v>
      </c>
      <c r="L13" s="26" t="n">
        <f aca="false">L9+SUM(L11:L12)</f>
        <v>1004473</v>
      </c>
      <c r="M13" s="26" t="n">
        <f aca="false">M9+SUM(M11:M12)</f>
        <v>1046005</v>
      </c>
      <c r="N13" s="26" t="n">
        <f aca="false">N9+SUM(N11:N12)</f>
        <v>11180759</v>
      </c>
      <c r="O13" s="27" t="n">
        <f aca="false">IFERROR(N13/$N$13,0)</f>
        <v>1</v>
      </c>
    </row>
    <row r="14" customFormat="false" ht="15" hidden="false" customHeight="false" outlineLevel="0" collapsed="false">
      <c r="A14" s="21" t="s">
        <v>56</v>
      </c>
    </row>
    <row r="15" customFormat="false" ht="15" hidden="false" customHeight="false" outlineLevel="0" collapsed="false">
      <c r="A15" s="22" t="s">
        <v>138</v>
      </c>
      <c r="B15" s="23" t="n">
        <f aca="false">-SUMIFS(Lançamentos!D$6:D$85,Lançamentos!$C$6:$C$85,"CMV / CPV")</f>
        <v>-439808</v>
      </c>
      <c r="C15" s="23" t="n">
        <f aca="false">-SUMIFS(Lançamentos!E$6:E$85,Lançamentos!$C$6:$C$85,"CMV / CPV")</f>
        <v>-449408</v>
      </c>
      <c r="D15" s="23" t="n">
        <f aca="false">-SUMIFS(Lançamentos!F$6:F$85,Lançamentos!$C$6:$C$85,"CMV / CPV")</f>
        <v>-494336</v>
      </c>
      <c r="E15" s="23" t="n">
        <f aca="false">-SUMIFS(Lançamentos!G$6:G$85,Lançamentos!$C$6:$C$85,"CMV / CPV")</f>
        <v>-481888</v>
      </c>
      <c r="F15" s="23" t="n">
        <f aca="false">-SUMIFS(Lançamentos!H$6:H$85,Lançamentos!$C$6:$C$85,"CMV / CPV")</f>
        <v>-504768</v>
      </c>
      <c r="G15" s="23" t="n">
        <f aca="false">-SUMIFS(Lançamentos!I$6:I$85,Lançamentos!$C$6:$C$85,"CMV / CPV")</f>
        <v>-487936</v>
      </c>
      <c r="H15" s="23" t="n">
        <f aca="false">-SUMIFS(Lançamentos!J$6:J$85,Lançamentos!$C$6:$C$85,"CMV / CPV")</f>
        <v>-475520</v>
      </c>
      <c r="I15" s="23" t="n">
        <f aca="false">-SUMIFS(Lançamentos!K$6:K$85,Lançamentos!$C$6:$C$85,"CMV / CPV")</f>
        <v>-498432</v>
      </c>
      <c r="J15" s="23" t="n">
        <f aca="false">-SUMIFS(Lançamentos!L$6:L$85,Lançamentos!$C$6:$C$85,"CMV / CPV")</f>
        <v>-512512</v>
      </c>
      <c r="K15" s="23" t="n">
        <f aca="false">-SUMIFS(Lançamentos!M$6:M$85,Lançamentos!$C$6:$C$85,"CMV / CPV")</f>
        <v>-526624</v>
      </c>
      <c r="L15" s="23" t="n">
        <f aca="false">-SUMIFS(Lançamentos!N$6:N$85,Lançamentos!$C$6:$C$85,"CMV / CPV")</f>
        <v>-536352</v>
      </c>
      <c r="M15" s="23" t="n">
        <f aca="false">-SUMIFS(Lançamentos!O$6:O$85,Lançamentos!$C$6:$C$85,"CMV / CPV")</f>
        <v>-559328</v>
      </c>
      <c r="N15" s="23" t="n">
        <f aca="false">SUM(B15:M15)</f>
        <v>-5966912</v>
      </c>
      <c r="O15" s="24" t="n">
        <f aca="false">IFERROR(N15/$N$13,0)</f>
        <v>-0.533676828201019</v>
      </c>
    </row>
    <row r="16" customFormat="false" ht="15" hidden="false" customHeight="false" outlineLevel="0" collapsed="false">
      <c r="A16" s="22" t="s">
        <v>139</v>
      </c>
      <c r="B16" s="23" t="n">
        <f aca="false">-SUMIFS(Lançamentos!D$6:D$85,Lançamentos!$C$6:$C$85,"Comissões sobre vendas")</f>
        <v>-30936</v>
      </c>
      <c r="C16" s="23" t="n">
        <f aca="false">-SUMIFS(Lançamentos!E$6:E$85,Lançamentos!$C$6:$C$85,"Comissões sobre vendas")</f>
        <v>-31602</v>
      </c>
      <c r="D16" s="23" t="n">
        <f aca="false">-SUMIFS(Lançamentos!F$6:F$85,Lançamentos!$C$6:$C$85,"Comissões sobre vendas")</f>
        <v>-34644</v>
      </c>
      <c r="E16" s="23" t="n">
        <f aca="false">-SUMIFS(Lançamentos!G$6:G$85,Lançamentos!$C$6:$C$85,"Comissões sobre vendas")</f>
        <v>-33828</v>
      </c>
      <c r="F16" s="23" t="n">
        <f aca="false">-SUMIFS(Lançamentos!H$6:H$85,Lançamentos!$C$6:$C$85,"Comissões sobre vendas")</f>
        <v>-35388</v>
      </c>
      <c r="G16" s="23" t="n">
        <f aca="false">-SUMIFS(Lançamentos!I$6:I$85,Lançamentos!$C$6:$C$85,"Comissões sobre vendas")</f>
        <v>-34278</v>
      </c>
      <c r="H16" s="23" t="n">
        <f aca="false">-SUMIFS(Lançamentos!J$6:J$85,Lançamentos!$C$6:$C$85,"Comissões sobre vendas")</f>
        <v>-33465</v>
      </c>
      <c r="I16" s="23" t="n">
        <f aca="false">-SUMIFS(Lançamentos!K$6:K$85,Lançamentos!$C$6:$C$85,"Comissões sobre vendas")</f>
        <v>-35028</v>
      </c>
      <c r="J16" s="23" t="n">
        <f aca="false">-SUMIFS(Lançamentos!L$6:L$85,Lançamentos!$C$6:$C$85,"Comissões sobre vendas")</f>
        <v>-35997</v>
      </c>
      <c r="K16" s="23" t="n">
        <f aca="false">-SUMIFS(Lançamentos!M$6:M$85,Lançamentos!$C$6:$C$85,"Comissões sobre vendas")</f>
        <v>-36969</v>
      </c>
      <c r="L16" s="23" t="n">
        <f aca="false">-SUMIFS(Lançamentos!N$6:N$85,Lançamentos!$C$6:$C$85,"Comissões sobre vendas")</f>
        <v>-37647</v>
      </c>
      <c r="M16" s="23" t="n">
        <f aca="false">-SUMIFS(Lançamentos!O$6:O$85,Lançamentos!$C$6:$C$85,"Comissões sobre vendas")</f>
        <v>-39216</v>
      </c>
      <c r="N16" s="23" t="n">
        <f aca="false">SUM(B16:M16)</f>
        <v>-418998</v>
      </c>
      <c r="O16" s="24" t="n">
        <f aca="false">IFERROR(N16/$N$13,0)</f>
        <v>-0.0374749156117219</v>
      </c>
    </row>
    <row r="17" customFormat="false" ht="15" hidden="false" customHeight="false" outlineLevel="0" collapsed="false">
      <c r="A17" s="22" t="s">
        <v>140</v>
      </c>
      <c r="B17" s="23" t="n">
        <f aca="false">-SUMIFS(Lançamentos!D$6:D$85,Lançamentos!$C$6:$C$85,"Fretes sobre vendas")</f>
        <v>-17160</v>
      </c>
      <c r="C17" s="23" t="n">
        <f aca="false">-SUMIFS(Lançamentos!E$6:E$85,Lançamentos!$C$6:$C$85,"Fretes sobre vendas")</f>
        <v>-17550</v>
      </c>
      <c r="D17" s="23" t="n">
        <f aca="false">-SUMIFS(Lançamentos!F$6:F$85,Lançamentos!$C$6:$C$85,"Fretes sobre vendas")</f>
        <v>-19500</v>
      </c>
      <c r="E17" s="23" t="n">
        <f aca="false">-SUMIFS(Lançamentos!G$6:G$85,Lançamentos!$C$6:$C$85,"Fretes sobre vendas")</f>
        <v>-18915</v>
      </c>
      <c r="F17" s="23" t="n">
        <f aca="false">-SUMIFS(Lançamentos!H$6:H$85,Lançamentos!$C$6:$C$85,"Fretes sobre vendas")</f>
        <v>-19890</v>
      </c>
      <c r="G17" s="23" t="n">
        <f aca="false">-SUMIFS(Lançamentos!I$6:I$85,Lançamentos!$C$6:$C$85,"Fretes sobre vendas")</f>
        <v>-19110</v>
      </c>
      <c r="H17" s="23" t="n">
        <f aca="false">-SUMIFS(Lançamentos!J$6:J$85,Lançamentos!$C$6:$C$85,"Fretes sobre vendas")</f>
        <v>-18525</v>
      </c>
      <c r="I17" s="23" t="n">
        <f aca="false">-SUMIFS(Lançamentos!K$6:K$85,Lançamentos!$C$6:$C$85,"Fretes sobre vendas")</f>
        <v>-19500</v>
      </c>
      <c r="J17" s="23" t="n">
        <f aca="false">-SUMIFS(Lançamentos!L$6:L$85,Lançamentos!$C$6:$C$85,"Fretes sobre vendas")</f>
        <v>-20085</v>
      </c>
      <c r="K17" s="23" t="n">
        <f aca="false">-SUMIFS(Lançamentos!M$6:M$85,Lançamentos!$C$6:$C$85,"Fretes sobre vendas")</f>
        <v>-20670</v>
      </c>
      <c r="L17" s="23" t="n">
        <f aca="false">-SUMIFS(Lançamentos!N$6:N$85,Lançamentos!$C$6:$C$85,"Fretes sobre vendas")</f>
        <v>-21060</v>
      </c>
      <c r="M17" s="23" t="n">
        <f aca="false">-SUMIFS(Lançamentos!O$6:O$85,Lançamentos!$C$6:$C$85,"Fretes sobre vendas")</f>
        <v>-22035</v>
      </c>
      <c r="N17" s="23" t="n">
        <f aca="false">SUM(B17:M17)</f>
        <v>-234000</v>
      </c>
      <c r="O17" s="24" t="n">
        <f aca="false">IFERROR(N17/$N$13,0)</f>
        <v>-0.0209288117202061</v>
      </c>
    </row>
    <row r="18" customFormat="false" ht="15" hidden="false" customHeight="false" outlineLevel="0" collapsed="false">
      <c r="A18" s="25" t="s">
        <v>141</v>
      </c>
      <c r="B18" s="26" t="n">
        <f aca="false">B13+SUM(B15:B17)</f>
        <v>338006</v>
      </c>
      <c r="C18" s="26" t="n">
        <f aca="false">C13+SUM(C15:C17)</f>
        <v>345060</v>
      </c>
      <c r="D18" s="26" t="n">
        <f aca="false">D13+SUM(D15:D17)</f>
        <v>375461</v>
      </c>
      <c r="E18" s="26" t="n">
        <f aca="false">E13+SUM(E15:E17)</f>
        <v>367975</v>
      </c>
      <c r="F18" s="26" t="n">
        <f aca="false">F13+SUM(F15:F17)</f>
        <v>383835</v>
      </c>
      <c r="G18" s="26" t="n">
        <f aca="false">G13+SUM(G15:G17)</f>
        <v>373482</v>
      </c>
      <c r="H18" s="26" t="n">
        <f aca="false">H13+SUM(H15:H17)</f>
        <v>366046</v>
      </c>
      <c r="I18" s="26" t="n">
        <f aca="false">I13+SUM(I15:I17)</f>
        <v>381957</v>
      </c>
      <c r="J18" s="26" t="n">
        <f aca="false">J13+SUM(J15:J17)</f>
        <v>392031</v>
      </c>
      <c r="K18" s="26" t="n">
        <f aca="false">K13+SUM(K15:K17)</f>
        <v>402156</v>
      </c>
      <c r="L18" s="26" t="n">
        <f aca="false">L13+SUM(L15:L17)</f>
        <v>409414</v>
      </c>
      <c r="M18" s="26" t="n">
        <f aca="false">M13+SUM(M15:M17)</f>
        <v>425426</v>
      </c>
      <c r="N18" s="26" t="n">
        <f aca="false">N13+SUM(N15:N17)</f>
        <v>4560849</v>
      </c>
      <c r="O18" s="27" t="n">
        <f aca="false">IFERROR(N18/$N$13,0)</f>
        <v>0.407919444467053</v>
      </c>
    </row>
    <row r="19" customFormat="false" ht="15" hidden="false" customHeight="false" outlineLevel="0" collapsed="false">
      <c r="A19" s="21" t="s">
        <v>66</v>
      </c>
    </row>
    <row r="20" customFormat="false" ht="15" hidden="false" customHeight="false" outlineLevel="0" collapsed="false">
      <c r="A20" s="22" t="s">
        <v>142</v>
      </c>
      <c r="B20" s="23" t="n">
        <f aca="false">-SUMIFS(Lançamentos!D$6:D$85,Lançamentos!$C$6:$C$85,"Pessoal")</f>
        <v>-168000</v>
      </c>
      <c r="C20" s="23" t="n">
        <f aca="false">-SUMIFS(Lançamentos!E$6:E$85,Lançamentos!$C$6:$C$85,"Pessoal")</f>
        <v>-168000</v>
      </c>
      <c r="D20" s="23" t="n">
        <f aca="false">-SUMIFS(Lançamentos!F$6:F$85,Lançamentos!$C$6:$C$85,"Pessoal")</f>
        <v>-168000</v>
      </c>
      <c r="E20" s="23" t="n">
        <f aca="false">-SUMIFS(Lançamentos!G$6:G$85,Lançamentos!$C$6:$C$85,"Pessoal")</f>
        <v>-168000</v>
      </c>
      <c r="F20" s="23" t="n">
        <f aca="false">-SUMIFS(Lançamentos!H$6:H$85,Lançamentos!$C$6:$C$85,"Pessoal")</f>
        <v>-176400</v>
      </c>
      <c r="G20" s="23" t="n">
        <f aca="false">-SUMIFS(Lançamentos!I$6:I$85,Lançamentos!$C$6:$C$85,"Pessoal")</f>
        <v>-176400</v>
      </c>
      <c r="H20" s="23" t="n">
        <f aca="false">-SUMIFS(Lançamentos!J$6:J$85,Lançamentos!$C$6:$C$85,"Pessoal")</f>
        <v>-176400</v>
      </c>
      <c r="I20" s="23" t="n">
        <f aca="false">-SUMIFS(Lançamentos!K$6:K$85,Lançamentos!$C$6:$C$85,"Pessoal")</f>
        <v>-176400</v>
      </c>
      <c r="J20" s="23" t="n">
        <f aca="false">-SUMIFS(Lançamentos!L$6:L$85,Lançamentos!$C$6:$C$85,"Pessoal")</f>
        <v>-176400</v>
      </c>
      <c r="K20" s="23" t="n">
        <f aca="false">-SUMIFS(Lançamentos!M$6:M$85,Lançamentos!$C$6:$C$85,"Pessoal")</f>
        <v>-176400</v>
      </c>
      <c r="L20" s="23" t="n">
        <f aca="false">-SUMIFS(Lançamentos!N$6:N$85,Lançamentos!$C$6:$C$85,"Pessoal")</f>
        <v>-176400</v>
      </c>
      <c r="M20" s="23" t="n">
        <f aca="false">-SUMIFS(Lançamentos!O$6:O$85,Lançamentos!$C$6:$C$85,"Pessoal")</f>
        <v>-176400</v>
      </c>
      <c r="N20" s="23" t="n">
        <f aca="false">SUM(B20:M20)</f>
        <v>-2083200</v>
      </c>
      <c r="O20" s="24" t="n">
        <f aca="false">IFERROR(N20/$N$13,0)</f>
        <v>-0.18632008792963</v>
      </c>
    </row>
    <row r="21" customFormat="false" ht="15" hidden="false" customHeight="false" outlineLevel="0" collapsed="false">
      <c r="A21" s="22" t="s">
        <v>143</v>
      </c>
      <c r="B21" s="23" t="n">
        <f aca="false">-SUMIFS(Lançamentos!D$6:D$85,Lançamentos!$C$6:$C$85,"Ocupação")</f>
        <v>-41800</v>
      </c>
      <c r="C21" s="23" t="n">
        <f aca="false">-SUMIFS(Lançamentos!E$6:E$85,Lançamentos!$C$6:$C$85,"Ocupação")</f>
        <v>-41600</v>
      </c>
      <c r="D21" s="23" t="n">
        <f aca="false">-SUMIFS(Lançamentos!F$6:F$85,Lançamentos!$C$6:$C$85,"Ocupação")</f>
        <v>-41100</v>
      </c>
      <c r="E21" s="23" t="n">
        <f aca="false">-SUMIFS(Lançamentos!G$6:G$85,Lançamentos!$C$6:$C$85,"Ocupação")</f>
        <v>-40700</v>
      </c>
      <c r="F21" s="23" t="n">
        <f aca="false">-SUMIFS(Lançamentos!H$6:H$85,Lançamentos!$C$6:$C$85,"Ocupação")</f>
        <v>-40200</v>
      </c>
      <c r="G21" s="23" t="n">
        <f aca="false">-SUMIFS(Lançamentos!I$6:I$85,Lançamentos!$C$6:$C$85,"Ocupação")</f>
        <v>-39900</v>
      </c>
      <c r="H21" s="23" t="n">
        <f aca="false">-SUMIFS(Lançamentos!J$6:J$85,Lançamentos!$C$6:$C$85,"Ocupação")</f>
        <v>-39800</v>
      </c>
      <c r="I21" s="23" t="n">
        <f aca="false">-SUMIFS(Lançamentos!K$6:K$85,Lançamentos!$C$6:$C$85,"Ocupação")</f>
        <v>-40100</v>
      </c>
      <c r="J21" s="23" t="n">
        <f aca="false">-SUMIFS(Lançamentos!L$6:L$85,Lançamentos!$C$6:$C$85,"Ocupação")</f>
        <v>-40600</v>
      </c>
      <c r="K21" s="23" t="n">
        <f aca="false">-SUMIFS(Lançamentos!M$6:M$85,Lançamentos!$C$6:$C$85,"Ocupação")</f>
        <v>-41200</v>
      </c>
      <c r="L21" s="23" t="n">
        <f aca="false">-SUMIFS(Lançamentos!N$6:N$85,Lançamentos!$C$6:$C$85,"Ocupação")</f>
        <v>-41700</v>
      </c>
      <c r="M21" s="23" t="n">
        <f aca="false">-SUMIFS(Lançamentos!O$6:O$85,Lançamentos!$C$6:$C$85,"Ocupação")</f>
        <v>-42100</v>
      </c>
      <c r="N21" s="23" t="n">
        <f aca="false">SUM(B21:M21)</f>
        <v>-490800</v>
      </c>
      <c r="O21" s="24" t="n">
        <f aca="false">IFERROR(N21/$N$13,0)</f>
        <v>-0.0438968409926374</v>
      </c>
    </row>
    <row r="22" customFormat="false" ht="15" hidden="false" customHeight="false" outlineLevel="0" collapsed="false">
      <c r="A22" s="22" t="s">
        <v>144</v>
      </c>
      <c r="B22" s="23" t="n">
        <f aca="false">-SUMIFS(Lançamentos!D$6:D$85,Lançamentos!$C$6:$C$85,"Administrativas")</f>
        <v>-19600</v>
      </c>
      <c r="C22" s="23" t="n">
        <f aca="false">-SUMIFS(Lançamentos!E$6:E$85,Lançamentos!$C$6:$C$85,"Administrativas")</f>
        <v>-19900</v>
      </c>
      <c r="D22" s="23" t="n">
        <f aca="false">-SUMIFS(Lançamentos!F$6:F$85,Lançamentos!$C$6:$C$85,"Administrativas")</f>
        <v>-20300</v>
      </c>
      <c r="E22" s="23" t="n">
        <f aca="false">-SUMIFS(Lançamentos!G$6:G$85,Lançamentos!$C$6:$C$85,"Administrativas")</f>
        <v>-20100</v>
      </c>
      <c r="F22" s="23" t="n">
        <f aca="false">-SUMIFS(Lançamentos!H$6:H$85,Lançamentos!$C$6:$C$85,"Administrativas")</f>
        <v>-20400</v>
      </c>
      <c r="G22" s="23" t="n">
        <f aca="false">-SUMIFS(Lançamentos!I$6:I$85,Lançamentos!$C$6:$C$85,"Administrativas")</f>
        <v>-20000</v>
      </c>
      <c r="H22" s="23" t="n">
        <f aca="false">-SUMIFS(Lançamentos!J$6:J$85,Lançamentos!$C$6:$C$85,"Administrativas")</f>
        <v>-19700</v>
      </c>
      <c r="I22" s="23" t="n">
        <f aca="false">-SUMIFS(Lançamentos!K$6:K$85,Lançamentos!$C$6:$C$85,"Administrativas")</f>
        <v>-20200</v>
      </c>
      <c r="J22" s="23" t="n">
        <f aca="false">-SUMIFS(Lançamentos!L$6:L$85,Lançamentos!$C$6:$C$85,"Administrativas")</f>
        <v>-20500</v>
      </c>
      <c r="K22" s="23" t="n">
        <f aca="false">-SUMIFS(Lançamentos!M$6:M$85,Lançamentos!$C$6:$C$85,"Administrativas")</f>
        <v>-20800</v>
      </c>
      <c r="L22" s="23" t="n">
        <f aca="false">-SUMIFS(Lançamentos!N$6:N$85,Lançamentos!$C$6:$C$85,"Administrativas")</f>
        <v>-21100</v>
      </c>
      <c r="M22" s="23" t="n">
        <f aca="false">-SUMIFS(Lançamentos!O$6:O$85,Lançamentos!$C$6:$C$85,"Administrativas")</f>
        <v>-21600</v>
      </c>
      <c r="N22" s="23" t="n">
        <f aca="false">SUM(B22:M22)</f>
        <v>-244200</v>
      </c>
      <c r="O22" s="24" t="n">
        <f aca="false">IFERROR(N22/$N$13,0)</f>
        <v>-0.0218410932567279</v>
      </c>
    </row>
    <row r="23" customFormat="false" ht="15" hidden="false" customHeight="false" outlineLevel="0" collapsed="false">
      <c r="A23" s="22" t="s">
        <v>145</v>
      </c>
      <c r="B23" s="23" t="n">
        <f aca="false">-SUMIFS(Lançamentos!D$6:D$85,Lançamentos!$C$6:$C$85,"Comerciais e marketing")</f>
        <v>-23200</v>
      </c>
      <c r="C23" s="23" t="n">
        <f aca="false">-SUMIFS(Lançamentos!E$6:E$85,Lançamentos!$C$6:$C$85,"Comerciais e marketing")</f>
        <v>-25800</v>
      </c>
      <c r="D23" s="23" t="n">
        <f aca="false">-SUMIFS(Lançamentos!F$6:F$85,Lançamentos!$C$6:$C$85,"Comerciais e marketing")</f>
        <v>-31400</v>
      </c>
      <c r="E23" s="23" t="n">
        <f aca="false">-SUMIFS(Lançamentos!G$6:G$85,Lançamentos!$C$6:$C$85,"Comerciais e marketing")</f>
        <v>-29100</v>
      </c>
      <c r="F23" s="23" t="n">
        <f aca="false">-SUMIFS(Lançamentos!H$6:H$85,Lançamentos!$C$6:$C$85,"Comerciais e marketing")</f>
        <v>-30600</v>
      </c>
      <c r="G23" s="23" t="n">
        <f aca="false">-SUMIFS(Lançamentos!I$6:I$85,Lançamentos!$C$6:$C$85,"Comerciais e marketing")</f>
        <v>-27900</v>
      </c>
      <c r="H23" s="23" t="n">
        <f aca="false">-SUMIFS(Lançamentos!J$6:J$85,Lançamentos!$C$6:$C$85,"Comerciais e marketing")</f>
        <v>-24800</v>
      </c>
      <c r="I23" s="23" t="n">
        <f aca="false">-SUMIFS(Lançamentos!K$6:K$85,Lançamentos!$C$6:$C$85,"Comerciais e marketing")</f>
        <v>-29300</v>
      </c>
      <c r="J23" s="23" t="n">
        <f aca="false">-SUMIFS(Lançamentos!L$6:L$85,Lançamentos!$C$6:$C$85,"Comerciais e marketing")</f>
        <v>-32900</v>
      </c>
      <c r="K23" s="23" t="n">
        <f aca="false">-SUMIFS(Lançamentos!M$6:M$85,Lançamentos!$C$6:$C$85,"Comerciais e marketing")</f>
        <v>-35200</v>
      </c>
      <c r="L23" s="23" t="n">
        <f aca="false">-SUMIFS(Lançamentos!N$6:N$85,Lançamentos!$C$6:$C$85,"Comerciais e marketing")</f>
        <v>-38400</v>
      </c>
      <c r="M23" s="23" t="n">
        <f aca="false">-SUMIFS(Lançamentos!O$6:O$85,Lançamentos!$C$6:$C$85,"Comerciais e marketing")</f>
        <v>-31600</v>
      </c>
      <c r="N23" s="23" t="n">
        <f aca="false">SUM(B23:M23)</f>
        <v>-360200</v>
      </c>
      <c r="O23" s="24" t="n">
        <f aca="false">IFERROR(N23/$N$13,0)</f>
        <v>-0.0322160597505053</v>
      </c>
    </row>
    <row r="24" customFormat="false" ht="15" hidden="false" customHeight="false" outlineLevel="0" collapsed="false">
      <c r="A24" s="22" t="s">
        <v>146</v>
      </c>
      <c r="B24" s="23" t="n">
        <f aca="false">-SUMIFS(Lançamentos!D$6:D$85,Lançamentos!$C$6:$C$85,"Tecnologia")</f>
        <v>-20100</v>
      </c>
      <c r="C24" s="23" t="n">
        <f aca="false">-SUMIFS(Lançamentos!E$6:E$85,Lançamentos!$C$6:$C$85,"Tecnologia")</f>
        <v>-20100</v>
      </c>
      <c r="D24" s="23" t="n">
        <f aca="false">-SUMIFS(Lançamentos!F$6:F$85,Lançamentos!$C$6:$C$85,"Tecnologia")</f>
        <v>-20100</v>
      </c>
      <c r="E24" s="23" t="n">
        <f aca="false">-SUMIFS(Lançamentos!G$6:G$85,Lançamentos!$C$6:$C$85,"Tecnologia")</f>
        <v>-20100</v>
      </c>
      <c r="F24" s="23" t="n">
        <f aca="false">-SUMIFS(Lançamentos!H$6:H$85,Lançamentos!$C$6:$C$85,"Tecnologia")</f>
        <v>-20100</v>
      </c>
      <c r="G24" s="23" t="n">
        <f aca="false">-SUMIFS(Lançamentos!I$6:I$85,Lançamentos!$C$6:$C$85,"Tecnologia")</f>
        <v>-20100</v>
      </c>
      <c r="H24" s="23" t="n">
        <f aca="false">-SUMIFS(Lançamentos!J$6:J$85,Lançamentos!$C$6:$C$85,"Tecnologia")</f>
        <v>-21300</v>
      </c>
      <c r="I24" s="23" t="n">
        <f aca="false">-SUMIFS(Lançamentos!K$6:K$85,Lançamentos!$C$6:$C$85,"Tecnologia")</f>
        <v>-21300</v>
      </c>
      <c r="J24" s="23" t="n">
        <f aca="false">-SUMIFS(Lançamentos!L$6:L$85,Lançamentos!$C$6:$C$85,"Tecnologia")</f>
        <v>-21300</v>
      </c>
      <c r="K24" s="23" t="n">
        <f aca="false">-SUMIFS(Lançamentos!M$6:M$85,Lançamentos!$C$6:$C$85,"Tecnologia")</f>
        <v>-21300</v>
      </c>
      <c r="L24" s="23" t="n">
        <f aca="false">-SUMIFS(Lançamentos!N$6:N$85,Lançamentos!$C$6:$C$85,"Tecnologia")</f>
        <v>-21300</v>
      </c>
      <c r="M24" s="23" t="n">
        <f aca="false">-SUMIFS(Lançamentos!O$6:O$85,Lançamentos!$C$6:$C$85,"Tecnologia")</f>
        <v>-21300</v>
      </c>
      <c r="N24" s="23" t="n">
        <f aca="false">SUM(B24:M24)</f>
        <v>-248400</v>
      </c>
      <c r="O24" s="24" t="n">
        <f aca="false">IFERROR(N24/$N$13,0)</f>
        <v>-0.0222167385952957</v>
      </c>
    </row>
    <row r="25" customFormat="false" ht="15" hidden="false" customHeight="false" outlineLevel="0" collapsed="false">
      <c r="A25" s="25" t="s">
        <v>147</v>
      </c>
      <c r="B25" s="26" t="n">
        <f aca="false">B18+SUM(B20:B24)</f>
        <v>65306</v>
      </c>
      <c r="C25" s="26" t="n">
        <f aca="false">C18+SUM(C20:C24)</f>
        <v>69660</v>
      </c>
      <c r="D25" s="26" t="n">
        <f aca="false">D18+SUM(D20:D24)</f>
        <v>94561</v>
      </c>
      <c r="E25" s="26" t="n">
        <f aca="false">E18+SUM(E20:E24)</f>
        <v>89975</v>
      </c>
      <c r="F25" s="26" t="n">
        <f aca="false">F18+SUM(F20:F24)</f>
        <v>96135</v>
      </c>
      <c r="G25" s="26" t="n">
        <f aca="false">G18+SUM(G20:G24)</f>
        <v>89182</v>
      </c>
      <c r="H25" s="26" t="n">
        <f aca="false">H18+SUM(H20:H24)</f>
        <v>84046</v>
      </c>
      <c r="I25" s="26" t="n">
        <f aca="false">I18+SUM(I20:I24)</f>
        <v>94657</v>
      </c>
      <c r="J25" s="26" t="n">
        <f aca="false">J18+SUM(J20:J24)</f>
        <v>100331</v>
      </c>
      <c r="K25" s="26" t="n">
        <f aca="false">K18+SUM(K20:K24)</f>
        <v>107256</v>
      </c>
      <c r="L25" s="26" t="n">
        <f aca="false">L18+SUM(L20:L24)</f>
        <v>110514</v>
      </c>
      <c r="M25" s="26" t="n">
        <f aca="false">M18+SUM(M20:M24)</f>
        <v>132426</v>
      </c>
      <c r="N25" s="26" t="n">
        <f aca="false">N18+SUM(N20:N24)</f>
        <v>1134049</v>
      </c>
      <c r="O25" s="27" t="n">
        <f aca="false">IFERROR(N25/$N$13,0)</f>
        <v>0.101428623942257</v>
      </c>
    </row>
    <row r="26" customFormat="false" ht="15" hidden="false" customHeight="false" outlineLevel="0" collapsed="false">
      <c r="A26" s="22" t="s">
        <v>148</v>
      </c>
      <c r="B26" s="23" t="n">
        <f aca="false">-SUMIFS(Lançamentos!D$6:D$85,Lançamentos!$C$6:$C$85,"Depreciação e amortização")</f>
        <v>-22000</v>
      </c>
      <c r="C26" s="23" t="n">
        <f aca="false">-SUMIFS(Lançamentos!E$6:E$85,Lançamentos!$C$6:$C$85,"Depreciação e amortização")</f>
        <v>-22000</v>
      </c>
      <c r="D26" s="23" t="n">
        <f aca="false">-SUMIFS(Lançamentos!F$6:F$85,Lançamentos!$C$6:$C$85,"Depreciação e amortização")</f>
        <v>-22000</v>
      </c>
      <c r="E26" s="23" t="n">
        <f aca="false">-SUMIFS(Lançamentos!G$6:G$85,Lançamentos!$C$6:$C$85,"Depreciação e amortização")</f>
        <v>-22000</v>
      </c>
      <c r="F26" s="23" t="n">
        <f aca="false">-SUMIFS(Lançamentos!H$6:H$85,Lançamentos!$C$6:$C$85,"Depreciação e amortização")</f>
        <v>-22000</v>
      </c>
      <c r="G26" s="23" t="n">
        <f aca="false">-SUMIFS(Lançamentos!I$6:I$85,Lançamentos!$C$6:$C$85,"Depreciação e amortização")</f>
        <v>-22000</v>
      </c>
      <c r="H26" s="23" t="n">
        <f aca="false">-SUMIFS(Lançamentos!J$6:J$85,Lançamentos!$C$6:$C$85,"Depreciação e amortização")</f>
        <v>-22000</v>
      </c>
      <c r="I26" s="23" t="n">
        <f aca="false">-SUMIFS(Lançamentos!K$6:K$85,Lançamentos!$C$6:$C$85,"Depreciação e amortização")</f>
        <v>-22000</v>
      </c>
      <c r="J26" s="23" t="n">
        <f aca="false">-SUMIFS(Lançamentos!L$6:L$85,Lançamentos!$C$6:$C$85,"Depreciação e amortização")</f>
        <v>-22000</v>
      </c>
      <c r="K26" s="23" t="n">
        <f aca="false">-SUMIFS(Lançamentos!M$6:M$85,Lançamentos!$C$6:$C$85,"Depreciação e amortização")</f>
        <v>-22000</v>
      </c>
      <c r="L26" s="23" t="n">
        <f aca="false">-SUMIFS(Lançamentos!N$6:N$85,Lançamentos!$C$6:$C$85,"Depreciação e amortização")</f>
        <v>-22000</v>
      </c>
      <c r="M26" s="23" t="n">
        <f aca="false">-SUMIFS(Lançamentos!O$6:O$85,Lançamentos!$C$6:$C$85,"Depreciação e amortização")</f>
        <v>-22000</v>
      </c>
      <c r="N26" s="23" t="n">
        <f aca="false">SUM(B26:M26)</f>
        <v>-264000</v>
      </c>
      <c r="O26" s="24" t="n">
        <f aca="false">IFERROR(N26/$N$13,0)</f>
        <v>-0.0236119927099761</v>
      </c>
    </row>
    <row r="27" customFormat="false" ht="15" hidden="false" customHeight="false" outlineLevel="0" collapsed="false">
      <c r="A27" s="25" t="s">
        <v>149</v>
      </c>
      <c r="B27" s="26" t="n">
        <f aca="false">B25+B26</f>
        <v>43306</v>
      </c>
      <c r="C27" s="26" t="n">
        <f aca="false">C25+C26</f>
        <v>47660</v>
      </c>
      <c r="D27" s="26" t="n">
        <f aca="false">D25+D26</f>
        <v>72561</v>
      </c>
      <c r="E27" s="26" t="n">
        <f aca="false">E25+E26</f>
        <v>67975</v>
      </c>
      <c r="F27" s="26" t="n">
        <f aca="false">F25+F26</f>
        <v>74135</v>
      </c>
      <c r="G27" s="26" t="n">
        <f aca="false">G25+G26</f>
        <v>67182</v>
      </c>
      <c r="H27" s="26" t="n">
        <f aca="false">H25+H26</f>
        <v>62046</v>
      </c>
      <c r="I27" s="26" t="n">
        <f aca="false">I25+I26</f>
        <v>72657</v>
      </c>
      <c r="J27" s="26" t="n">
        <f aca="false">J25+J26</f>
        <v>78331</v>
      </c>
      <c r="K27" s="26" t="n">
        <f aca="false">K25+K26</f>
        <v>85256</v>
      </c>
      <c r="L27" s="26" t="n">
        <f aca="false">L25+L26</f>
        <v>88514</v>
      </c>
      <c r="M27" s="26" t="n">
        <f aca="false">M25+M26</f>
        <v>110426</v>
      </c>
      <c r="N27" s="26" t="n">
        <f aca="false">N25+N26</f>
        <v>870049</v>
      </c>
      <c r="O27" s="27" t="n">
        <f aca="false">IFERROR(N27/$N$13,0)</f>
        <v>0.0778166312322804</v>
      </c>
    </row>
    <row r="28" customFormat="false" ht="15" hidden="false" customHeight="false" outlineLevel="0" collapsed="false">
      <c r="A28" s="21" t="s">
        <v>84</v>
      </c>
    </row>
    <row r="29" customFormat="false" ht="15" hidden="false" customHeight="false" outlineLevel="0" collapsed="false">
      <c r="A29" s="22" t="s">
        <v>150</v>
      </c>
      <c r="B29" s="23" t="n">
        <f aca="false">SUMIFS(Lançamentos!D$6:D$85,Lançamentos!$C$6:$C$85,"Receitas financeiras")</f>
        <v>5400</v>
      </c>
      <c r="C29" s="23" t="n">
        <f aca="false">SUMIFS(Lançamentos!E$6:E$85,Lançamentos!$C$6:$C$85,"Receitas financeiras")</f>
        <v>5600</v>
      </c>
      <c r="D29" s="23" t="n">
        <f aca="false">SUMIFS(Lançamentos!F$6:F$85,Lançamentos!$C$6:$C$85,"Receitas financeiras")</f>
        <v>6100</v>
      </c>
      <c r="E29" s="23" t="n">
        <f aca="false">SUMIFS(Lançamentos!G$6:G$85,Lançamentos!$C$6:$C$85,"Receitas financeiras")</f>
        <v>5800</v>
      </c>
      <c r="F29" s="23" t="n">
        <f aca="false">SUMIFS(Lançamentos!H$6:H$85,Lançamentos!$C$6:$C$85,"Receitas financeiras")</f>
        <v>6300</v>
      </c>
      <c r="G29" s="23" t="n">
        <f aca="false">SUMIFS(Lançamentos!I$6:I$85,Lançamentos!$C$6:$C$85,"Receitas financeiras")</f>
        <v>6000</v>
      </c>
      <c r="H29" s="23" t="n">
        <f aca="false">SUMIFS(Lançamentos!J$6:J$85,Lançamentos!$C$6:$C$85,"Receitas financeiras")</f>
        <v>5900</v>
      </c>
      <c r="I29" s="23" t="n">
        <f aca="false">SUMIFS(Lançamentos!K$6:K$85,Lançamentos!$C$6:$C$85,"Receitas financeiras")</f>
        <v>6200</v>
      </c>
      <c r="J29" s="23" t="n">
        <f aca="false">SUMIFS(Lançamentos!L$6:L$85,Lançamentos!$C$6:$C$85,"Receitas financeiras")</f>
        <v>6600</v>
      </c>
      <c r="K29" s="23" t="n">
        <f aca="false">SUMIFS(Lançamentos!M$6:M$85,Lançamentos!$C$6:$C$85,"Receitas financeiras")</f>
        <v>6900</v>
      </c>
      <c r="L29" s="23" t="n">
        <f aca="false">SUMIFS(Lançamentos!N$6:N$85,Lançamentos!$C$6:$C$85,"Receitas financeiras")</f>
        <v>7200</v>
      </c>
      <c r="M29" s="23" t="n">
        <f aca="false">SUMIFS(Lançamentos!O$6:O$85,Lançamentos!$C$6:$C$85,"Receitas financeiras")</f>
        <v>7600</v>
      </c>
      <c r="N29" s="23" t="n">
        <f aca="false">SUM(B29:M29)</f>
        <v>75600</v>
      </c>
      <c r="O29" s="24" t="n">
        <f aca="false">IFERROR(N29/$N$13,0)</f>
        <v>0.00676161609422044</v>
      </c>
    </row>
    <row r="30" customFormat="false" ht="15" hidden="false" customHeight="false" outlineLevel="0" collapsed="false">
      <c r="A30" s="22" t="s">
        <v>151</v>
      </c>
      <c r="B30" s="23" t="n">
        <f aca="false">-SUMIFS(Lançamentos!D$6:D$85,Lançamentos!$C$6:$C$85,"Despesas financeiras")</f>
        <v>-24500</v>
      </c>
      <c r="C30" s="23" t="n">
        <f aca="false">-SUMIFS(Lançamentos!E$6:E$85,Lançamentos!$C$6:$C$85,"Despesas financeiras")</f>
        <v>-24185</v>
      </c>
      <c r="D30" s="23" t="n">
        <f aca="false">-SUMIFS(Lançamentos!F$6:F$85,Lançamentos!$C$6:$C$85,"Despesas financeiras")</f>
        <v>-23875</v>
      </c>
      <c r="E30" s="23" t="n">
        <f aca="false">-SUMIFS(Lançamentos!G$6:G$85,Lançamentos!$C$6:$C$85,"Despesas financeiras")</f>
        <v>-23569</v>
      </c>
      <c r="F30" s="23" t="n">
        <f aca="false">-SUMIFS(Lançamentos!H$6:H$85,Lançamentos!$C$6:$C$85,"Despesas financeiras")</f>
        <v>-23268</v>
      </c>
      <c r="G30" s="23" t="n">
        <f aca="false">-SUMIFS(Lançamentos!I$6:I$85,Lançamentos!$C$6:$C$85,"Despesas financeiras")</f>
        <v>-22972</v>
      </c>
      <c r="H30" s="23" t="n">
        <f aca="false">-SUMIFS(Lançamentos!J$6:J$85,Lançamentos!$C$6:$C$85,"Despesas financeiras")</f>
        <v>-22679</v>
      </c>
      <c r="I30" s="23" t="n">
        <f aca="false">-SUMIFS(Lançamentos!K$6:K$85,Lançamentos!$C$6:$C$85,"Despesas financeiras")</f>
        <v>-22392</v>
      </c>
      <c r="J30" s="23" t="n">
        <f aca="false">-SUMIFS(Lançamentos!L$6:L$85,Lançamentos!$C$6:$C$85,"Despesas financeiras")</f>
        <v>-22108</v>
      </c>
      <c r="K30" s="23" t="n">
        <f aca="false">-SUMIFS(Lançamentos!M$6:M$85,Lançamentos!$C$6:$C$85,"Despesas financeiras")</f>
        <v>-21829</v>
      </c>
      <c r="L30" s="23" t="n">
        <f aca="false">-SUMIFS(Lançamentos!N$6:N$85,Lançamentos!$C$6:$C$85,"Despesas financeiras")</f>
        <v>-21554</v>
      </c>
      <c r="M30" s="23" t="n">
        <f aca="false">-SUMIFS(Lançamentos!O$6:O$85,Lançamentos!$C$6:$C$85,"Despesas financeiras")</f>
        <v>-21284</v>
      </c>
      <c r="N30" s="23" t="n">
        <f aca="false">SUM(B30:M30)</f>
        <v>-274215</v>
      </c>
      <c r="O30" s="24" t="n">
        <f aca="false">IFERROR(N30/$N$13,0)</f>
        <v>-0.0245256158369928</v>
      </c>
    </row>
    <row r="31" customFormat="false" ht="15" hidden="false" customHeight="false" outlineLevel="0" collapsed="false">
      <c r="A31" s="25" t="s">
        <v>152</v>
      </c>
      <c r="B31" s="26" t="n">
        <f aca="false">B27+B29+B30</f>
        <v>24206</v>
      </c>
      <c r="C31" s="26" t="n">
        <f aca="false">C27+C29+C30</f>
        <v>29075</v>
      </c>
      <c r="D31" s="26" t="n">
        <f aca="false">D27+D29+D30</f>
        <v>54786</v>
      </c>
      <c r="E31" s="26" t="n">
        <f aca="false">E27+E29+E30</f>
        <v>50206</v>
      </c>
      <c r="F31" s="26" t="n">
        <f aca="false">F27+F29+F30</f>
        <v>57167</v>
      </c>
      <c r="G31" s="26" t="n">
        <f aca="false">G27+G29+G30</f>
        <v>50210</v>
      </c>
      <c r="H31" s="26" t="n">
        <f aca="false">H27+H29+H30</f>
        <v>45267</v>
      </c>
      <c r="I31" s="26" t="n">
        <f aca="false">I27+I29+I30</f>
        <v>56465</v>
      </c>
      <c r="J31" s="26" t="n">
        <f aca="false">J27+J29+J30</f>
        <v>62823</v>
      </c>
      <c r="K31" s="26" t="n">
        <f aca="false">K27+K29+K30</f>
        <v>70327</v>
      </c>
      <c r="L31" s="26" t="n">
        <f aca="false">L27+L29+L30</f>
        <v>74160</v>
      </c>
      <c r="M31" s="26" t="n">
        <f aca="false">M27+M29+M30</f>
        <v>96742</v>
      </c>
      <c r="N31" s="26" t="n">
        <f aca="false">N27+N29+N30</f>
        <v>671434</v>
      </c>
      <c r="O31" s="27" t="n">
        <f aca="false">IFERROR(N31/$N$13,0)</f>
        <v>0.060052631489508</v>
      </c>
    </row>
    <row r="32" customFormat="false" ht="15" hidden="false" customHeight="false" outlineLevel="0" collapsed="false">
      <c r="A32" s="22" t="s">
        <v>153</v>
      </c>
      <c r="B32" s="23" t="n">
        <f aca="false">-SUMIFS(Lançamentos!D$6:D$85,Lançamentos!$C$6:$C$85,"IR e CSLL")</f>
        <v>-8230</v>
      </c>
      <c r="C32" s="23" t="n">
        <f aca="false">-SUMIFS(Lançamentos!E$6:E$85,Lançamentos!$C$6:$C$85,"IR e CSLL")</f>
        <v>-9886</v>
      </c>
      <c r="D32" s="23" t="n">
        <f aca="false">-SUMIFS(Lançamentos!F$6:F$85,Lançamentos!$C$6:$C$85,"IR e CSLL")</f>
        <v>-18627</v>
      </c>
      <c r="E32" s="23" t="n">
        <f aca="false">-SUMIFS(Lançamentos!G$6:G$85,Lançamentos!$C$6:$C$85,"IR e CSLL")</f>
        <v>-17070</v>
      </c>
      <c r="F32" s="23" t="n">
        <f aca="false">-SUMIFS(Lançamentos!H$6:H$85,Lançamentos!$C$6:$C$85,"IR e CSLL")</f>
        <v>-19437</v>
      </c>
      <c r="G32" s="23" t="n">
        <f aca="false">-SUMIFS(Lançamentos!I$6:I$85,Lançamentos!$C$6:$C$85,"IR e CSLL")</f>
        <v>-17071</v>
      </c>
      <c r="H32" s="23" t="n">
        <f aca="false">-SUMIFS(Lançamentos!J$6:J$85,Lançamentos!$C$6:$C$85,"IR e CSLL")</f>
        <v>-15391</v>
      </c>
      <c r="I32" s="23" t="n">
        <f aca="false">-SUMIFS(Lançamentos!K$6:K$85,Lançamentos!$C$6:$C$85,"IR e CSLL")</f>
        <v>-19198</v>
      </c>
      <c r="J32" s="23" t="n">
        <f aca="false">-SUMIFS(Lançamentos!L$6:L$85,Lançamentos!$C$6:$C$85,"IR e CSLL")</f>
        <v>-21360</v>
      </c>
      <c r="K32" s="23" t="n">
        <f aca="false">-SUMIFS(Lançamentos!M$6:M$85,Lançamentos!$C$6:$C$85,"IR e CSLL")</f>
        <v>-23911</v>
      </c>
      <c r="L32" s="23" t="n">
        <f aca="false">-SUMIFS(Lançamentos!N$6:N$85,Lançamentos!$C$6:$C$85,"IR e CSLL")</f>
        <v>-25214</v>
      </c>
      <c r="M32" s="23" t="n">
        <f aca="false">-SUMIFS(Lançamentos!O$6:O$85,Lançamentos!$C$6:$C$85,"IR e CSLL")</f>
        <v>-32892</v>
      </c>
      <c r="N32" s="23" t="n">
        <f aca="false">SUM(B32:M32)</f>
        <v>-228287</v>
      </c>
      <c r="O32" s="24" t="n">
        <f aca="false">IFERROR(N32/$N$13,0)</f>
        <v>-0.0204178446203876</v>
      </c>
    </row>
    <row r="33" customFormat="false" ht="15" hidden="false" customHeight="false" outlineLevel="0" collapsed="false">
      <c r="A33" s="28" t="s">
        <v>154</v>
      </c>
      <c r="B33" s="29" t="n">
        <f aca="false">B31+B32</f>
        <v>15976</v>
      </c>
      <c r="C33" s="29" t="n">
        <f aca="false">C31+C32</f>
        <v>19189</v>
      </c>
      <c r="D33" s="29" t="n">
        <f aca="false">D31+D32</f>
        <v>36159</v>
      </c>
      <c r="E33" s="29" t="n">
        <f aca="false">E31+E32</f>
        <v>33136</v>
      </c>
      <c r="F33" s="29" t="n">
        <f aca="false">F31+F32</f>
        <v>37730</v>
      </c>
      <c r="G33" s="29" t="n">
        <f aca="false">G31+G32</f>
        <v>33139</v>
      </c>
      <c r="H33" s="29" t="n">
        <f aca="false">H31+H32</f>
        <v>29876</v>
      </c>
      <c r="I33" s="29" t="n">
        <f aca="false">I31+I32</f>
        <v>37267</v>
      </c>
      <c r="J33" s="29" t="n">
        <f aca="false">J31+J32</f>
        <v>41463</v>
      </c>
      <c r="K33" s="29" t="n">
        <f aca="false">K31+K32</f>
        <v>46416</v>
      </c>
      <c r="L33" s="29" t="n">
        <f aca="false">L31+L32</f>
        <v>48946</v>
      </c>
      <c r="M33" s="29" t="n">
        <f aca="false">M31+M32</f>
        <v>63850</v>
      </c>
      <c r="N33" s="29" t="n">
        <f aca="false">N31+N32</f>
        <v>443147</v>
      </c>
      <c r="O33" s="30" t="n">
        <f aca="false">IFERROR(N33/$N$13,0)</f>
        <v>0.0396347868691204</v>
      </c>
    </row>
    <row r="35" customFormat="false" ht="15" hidden="false" customHeight="false" outlineLevel="0" collapsed="false">
      <c r="A35" s="31" t="s">
        <v>155</v>
      </c>
      <c r="N35" s="32" t="n">
        <f aca="false">SUMPRODUCT((Lançamentos!$A$6:$A$85&lt;&gt;"")*(Lançamentos!$C$6:$C$85="Sem de-para")*Lançamentos!$D$6:$O$85)</f>
        <v>0</v>
      </c>
    </row>
    <row r="37" customFormat="false" ht="15" hidden="false" customHeight="false" outlineLevel="0" collapsed="false">
      <c r="A37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14" min="2" style="0" width="11.5"/>
  </cols>
  <sheetData>
    <row r="1" customFormat="false" ht="19.7" hidden="false" customHeight="false" outlineLevel="0" collapsed="false">
      <c r="A1" s="1" t="s">
        <v>156</v>
      </c>
    </row>
    <row r="2" customFormat="false" ht="15" hidden="false" customHeight="false" outlineLevel="0" collapsed="false">
      <c r="A2" s="2" t="s">
        <v>157</v>
      </c>
    </row>
    <row r="4" customFormat="false" ht="21.75" hidden="false" customHeight="true" outlineLevel="0" collapsed="false">
      <c r="A4" s="9" t="s">
        <v>158</v>
      </c>
      <c r="B4" s="10" t="s">
        <v>114</v>
      </c>
      <c r="C4" s="10" t="s">
        <v>115</v>
      </c>
      <c r="D4" s="10" t="s">
        <v>116</v>
      </c>
      <c r="E4" s="10" t="s">
        <v>117</v>
      </c>
      <c r="F4" s="10" t="s">
        <v>118</v>
      </c>
      <c r="G4" s="10" t="s">
        <v>119</v>
      </c>
      <c r="H4" s="10" t="s">
        <v>120</v>
      </c>
      <c r="I4" s="10" t="s">
        <v>121</v>
      </c>
      <c r="J4" s="10" t="s">
        <v>122</v>
      </c>
      <c r="K4" s="10" t="s">
        <v>123</v>
      </c>
      <c r="L4" s="10" t="s">
        <v>124</v>
      </c>
      <c r="M4" s="10" t="s">
        <v>125</v>
      </c>
      <c r="N4" s="10" t="s">
        <v>159</v>
      </c>
    </row>
    <row r="5" customFormat="false" ht="15" hidden="false" customHeight="false" outlineLevel="0" collapsed="false">
      <c r="A5" s="22" t="s">
        <v>137</v>
      </c>
      <c r="B5" s="23" t="n">
        <f aca="false">DRE!B13</f>
        <v>825910</v>
      </c>
      <c r="C5" s="23" t="n">
        <f aca="false">DRE!C13</f>
        <v>843620</v>
      </c>
      <c r="D5" s="23" t="n">
        <f aca="false">DRE!D13</f>
        <v>923941</v>
      </c>
      <c r="E5" s="23" t="n">
        <f aca="false">DRE!E13</f>
        <v>902606</v>
      </c>
      <c r="F5" s="23" t="n">
        <f aca="false">DRE!F13</f>
        <v>943881</v>
      </c>
      <c r="G5" s="23" t="n">
        <f aca="false">DRE!G13</f>
        <v>914806</v>
      </c>
      <c r="H5" s="23" t="n">
        <f aca="false">DRE!H13</f>
        <v>893556</v>
      </c>
      <c r="I5" s="23" t="n">
        <f aca="false">DRE!I13</f>
        <v>934917</v>
      </c>
      <c r="J5" s="23" t="n">
        <f aca="false">DRE!J13</f>
        <v>960625</v>
      </c>
      <c r="K5" s="23" t="n">
        <f aca="false">DRE!K13</f>
        <v>986419</v>
      </c>
      <c r="L5" s="23" t="n">
        <f aca="false">DRE!L13</f>
        <v>1004473</v>
      </c>
      <c r="M5" s="23" t="n">
        <f aca="false">DRE!M13</f>
        <v>1046005</v>
      </c>
      <c r="N5" s="23" t="n">
        <f aca="false">DRE!N13</f>
        <v>11180759</v>
      </c>
    </row>
    <row r="6" customFormat="false" ht="15" hidden="false" customHeight="false" outlineLevel="0" collapsed="false">
      <c r="A6" s="22" t="s">
        <v>160</v>
      </c>
      <c r="B6" s="33"/>
      <c r="C6" s="33" t="n">
        <f aca="false">IFERROR(C5/B5-1,0)</f>
        <v>0.0214430143720261</v>
      </c>
      <c r="D6" s="33" t="n">
        <f aca="false">IFERROR(D5/C5-1,0)</f>
        <v>0.0952099286408572</v>
      </c>
      <c r="E6" s="33" t="n">
        <f aca="false">IFERROR(E5/D5-1,0)</f>
        <v>-0.0230913012843894</v>
      </c>
      <c r="F6" s="33" t="n">
        <f aca="false">IFERROR(F5/E5-1,0)</f>
        <v>0.0457287011165448</v>
      </c>
      <c r="G6" s="33" t="n">
        <f aca="false">IFERROR(G5/F5-1,0)</f>
        <v>-0.0308036712255041</v>
      </c>
      <c r="H6" s="33" t="n">
        <f aca="false">IFERROR(H5/G5-1,0)</f>
        <v>-0.0232289687649622</v>
      </c>
      <c r="I6" s="33" t="n">
        <f aca="false">IFERROR(I5/H5-1,0)</f>
        <v>0.0462880893866753</v>
      </c>
      <c r="J6" s="33" t="n">
        <f aca="false">IFERROR(J5/I5-1,0)</f>
        <v>0.0274976281316952</v>
      </c>
      <c r="K6" s="33" t="n">
        <f aca="false">IFERROR(K5/J5-1,0)</f>
        <v>0.02685126870527</v>
      </c>
      <c r="L6" s="33" t="n">
        <f aca="false">IFERROR(L5/K5-1,0)</f>
        <v>0.0183025671646633</v>
      </c>
      <c r="M6" s="33" t="n">
        <f aca="false">IFERROR(M5/L5-1,0)</f>
        <v>0.0413470546246639</v>
      </c>
      <c r="N6" s="33" t="n">
        <f aca="false">IFERROR(M5/B5-1,0)</f>
        <v>0.266487873981427</v>
      </c>
    </row>
    <row r="7" customFormat="false" ht="15" hidden="false" customHeight="false" outlineLevel="0" collapsed="false">
      <c r="A7" s="22" t="s">
        <v>161</v>
      </c>
      <c r="B7" s="33" t="n">
        <f aca="false">IFERROR(-(DRE!B11+DRE!B12)/DRE!B9,0)</f>
        <v>0.199078743211792</v>
      </c>
      <c r="C7" s="33" t="n">
        <f aca="false">IFERROR(-(DRE!C11+DRE!C12)/DRE!C9,0)</f>
        <v>0.199145623694703</v>
      </c>
      <c r="D7" s="33" t="n">
        <f aca="false">IFERROR(-(DRE!D11+DRE!D12)/DRE!D9,0)</f>
        <v>0.199912538967787</v>
      </c>
      <c r="E7" s="33" t="n">
        <f aca="false">IFERROR(-(DRE!E11+DRE!E12)/DRE!E9,0)</f>
        <v>0.199533522525718</v>
      </c>
      <c r="F7" s="33" t="n">
        <f aca="false">IFERROR(-(DRE!F11+DRE!F12)/DRE!F9,0)</f>
        <v>0.199829603255341</v>
      </c>
      <c r="G7" s="33" t="n">
        <f aca="false">IFERROR(-(DRE!G11+DRE!G12)/DRE!G9,0)</f>
        <v>0.199364607036583</v>
      </c>
      <c r="H7" s="33" t="n">
        <f aca="false">IFERROR(-(DRE!H11+DRE!H12)/DRE!H9,0)</f>
        <v>0.198963693411026</v>
      </c>
      <c r="I7" s="33" t="n">
        <f aca="false">IFERROR(-(DRE!I11+DRE!I12)/DRE!I9,0)</f>
        <v>0.199283144912641</v>
      </c>
      <c r="J7" s="33" t="n">
        <f aca="false">IFERROR(-(DRE!J11+DRE!J12)/DRE!J9,0)</f>
        <v>0.199412451037586</v>
      </c>
      <c r="K7" s="33" t="n">
        <f aca="false">IFERROR(-(DRE!K11+DRE!K12)/DRE!K9,0)</f>
        <v>0.199530146879818</v>
      </c>
      <c r="L7" s="33" t="n">
        <f aca="false">IFERROR(-(DRE!L11+DRE!L12)/DRE!L9,0)</f>
        <v>0.199559327436449</v>
      </c>
      <c r="M7" s="33" t="n">
        <f aca="false">IFERROR(-(DRE!M11+DRE!M12)/DRE!M9,0)</f>
        <v>0.199812576499388</v>
      </c>
      <c r="N7" s="33" t="n">
        <f aca="false">IFERROR(-(DRE!N11+DRE!N12)/DRE!N9,0)</f>
        <v>0.19946450818381</v>
      </c>
    </row>
    <row r="8" customFormat="false" ht="15" hidden="false" customHeight="false" outlineLevel="0" collapsed="false">
      <c r="A8" s="22" t="s">
        <v>141</v>
      </c>
      <c r="B8" s="33" t="n">
        <f aca="false">IFERROR(DRE!B18/DRE!B13,0)</f>
        <v>0.409252824157596</v>
      </c>
      <c r="C8" s="33" t="n">
        <f aca="false">IFERROR(DRE!C18/DRE!C13,0)</f>
        <v>0.409023019843057</v>
      </c>
      <c r="D8" s="33" t="n">
        <f aca="false">IFERROR(DRE!D18/DRE!D13,0)</f>
        <v>0.406369021398553</v>
      </c>
      <c r="E8" s="33" t="n">
        <f aca="false">IFERROR(DRE!E18/DRE!E13,0)</f>
        <v>0.407680649142594</v>
      </c>
      <c r="F8" s="33" t="n">
        <f aca="false">IFERROR(DRE!F18/DRE!F13,0)</f>
        <v>0.40665613567812</v>
      </c>
      <c r="G8" s="33" t="n">
        <f aca="false">IFERROR(DRE!G18/DRE!G13,0)</f>
        <v>0.40826360998944</v>
      </c>
      <c r="H8" s="33" t="n">
        <f aca="false">IFERROR(DRE!H18/DRE!H13,0)</f>
        <v>0.409650878064721</v>
      </c>
      <c r="I8" s="33" t="n">
        <f aca="false">IFERROR(DRE!I18/DRE!I13,0)</f>
        <v>0.40854642711599</v>
      </c>
      <c r="J8" s="33" t="n">
        <f aca="false">IFERROR(DRE!J18/DRE!J13,0)</f>
        <v>0.408099934938191</v>
      </c>
      <c r="K8" s="33" t="n">
        <f aca="false">IFERROR(DRE!K18/DRE!K13,0)</f>
        <v>0.407692876962021</v>
      </c>
      <c r="L8" s="33" t="n">
        <f aca="false">IFERROR(DRE!L18/DRE!L13,0)</f>
        <v>0.407590846145193</v>
      </c>
      <c r="M8" s="33" t="n">
        <f aca="false">IFERROR(DRE!M18/DRE!M13,0)</f>
        <v>0.406715073063704</v>
      </c>
      <c r="N8" s="33" t="n">
        <f aca="false">IFERROR(DRE!N18/DRE!N13,0)</f>
        <v>0.407919444467053</v>
      </c>
    </row>
    <row r="9" customFormat="false" ht="15" hidden="false" customHeight="false" outlineLevel="0" collapsed="false">
      <c r="A9" s="14" t="s">
        <v>162</v>
      </c>
      <c r="B9" s="34" t="n">
        <f aca="false">IFERROR(DRE!B25/DRE!B13,0)</f>
        <v>0.0790715695414755</v>
      </c>
      <c r="C9" s="34" t="n">
        <f aca="false">IFERROR(DRE!C25/DRE!C13,0)</f>
        <v>0.0825727223157346</v>
      </c>
      <c r="D9" s="34" t="n">
        <f aca="false">IFERROR(DRE!D25/DRE!D13,0)</f>
        <v>0.102345279622833</v>
      </c>
      <c r="E9" s="34" t="n">
        <f aca="false">IFERROR(DRE!E25/DRE!E13,0)</f>
        <v>0.0996835828700452</v>
      </c>
      <c r="F9" s="34" t="n">
        <f aca="false">IFERROR(DRE!F25/DRE!F13,0)</f>
        <v>0.101850762966942</v>
      </c>
      <c r="G9" s="34" t="n">
        <f aca="false">IFERROR(DRE!G25/DRE!G13,0)</f>
        <v>0.0974873361127933</v>
      </c>
      <c r="H9" s="34" t="n">
        <f aca="false">IFERROR(DRE!H25/DRE!H13,0)</f>
        <v>0.0940578990012937</v>
      </c>
      <c r="I9" s="34" t="n">
        <f aca="false">IFERROR(DRE!I25/DRE!I13,0)</f>
        <v>0.101246420805269</v>
      </c>
      <c r="J9" s="34" t="n">
        <f aca="false">IFERROR(DRE!J25/DRE!J13,0)</f>
        <v>0.104443461288224</v>
      </c>
      <c r="K9" s="34" t="n">
        <f aca="false">IFERROR(DRE!K25/DRE!K13,0)</f>
        <v>0.108732698782161</v>
      </c>
      <c r="L9" s="34" t="n">
        <f aca="false">IFERROR(DRE!L25/DRE!L13,0)</f>
        <v>0.110021872165802</v>
      </c>
      <c r="M9" s="34" t="n">
        <f aca="false">IFERROR(DRE!M25/DRE!M13,0)</f>
        <v>0.126601689284468</v>
      </c>
      <c r="N9" s="34" t="n">
        <f aca="false">IFERROR(DRE!N25/DRE!N13,0)</f>
        <v>0.101428623942257</v>
      </c>
    </row>
    <row r="10" customFormat="false" ht="15" hidden="false" customHeight="false" outlineLevel="0" collapsed="false">
      <c r="A10" s="22" t="s">
        <v>163</v>
      </c>
      <c r="B10" s="33" t="n">
        <f aca="false">IFERROR(DRE!B27/DRE!B13,0)</f>
        <v>0.0524342846072817</v>
      </c>
      <c r="C10" s="33" t="n">
        <f aca="false">IFERROR(DRE!C27/DRE!C13,0)</f>
        <v>0.0564946302837771</v>
      </c>
      <c r="D10" s="33" t="n">
        <f aca="false">IFERROR(DRE!D27/DRE!D13,0)</f>
        <v>0.0785342354111356</v>
      </c>
      <c r="E10" s="33" t="n">
        <f aca="false">IFERROR(DRE!E27/DRE!E13,0)</f>
        <v>0.0753097143161025</v>
      </c>
      <c r="F10" s="33" t="n">
        <f aca="false">IFERROR(DRE!F27/DRE!F13,0)</f>
        <v>0.0785427400276094</v>
      </c>
      <c r="G10" s="33" t="n">
        <f aca="false">IFERROR(DRE!G27/DRE!G13,0)</f>
        <v>0.0734385213914207</v>
      </c>
      <c r="H10" s="33" t="n">
        <f aca="false">IFERROR(DRE!H27/DRE!H13,0)</f>
        <v>0.0694371701381894</v>
      </c>
      <c r="I10" s="33" t="n">
        <f aca="false">IFERROR(DRE!I27/DRE!I13,0)</f>
        <v>0.0777149201479918</v>
      </c>
      <c r="J10" s="33" t="n">
        <f aca="false">IFERROR(DRE!J27/DRE!J13,0)</f>
        <v>0.0815417046193884</v>
      </c>
      <c r="K10" s="33" t="n">
        <f aca="false">IFERROR(DRE!K27/DRE!K13,0)</f>
        <v>0.0864298031566708</v>
      </c>
      <c r="L10" s="33" t="n">
        <f aca="false">IFERROR(DRE!L27/DRE!L13,0)</f>
        <v>0.0881198399558774</v>
      </c>
      <c r="M10" s="33" t="n">
        <f aca="false">IFERROR(DRE!M27/DRE!M13,0)</f>
        <v>0.105569285041659</v>
      </c>
      <c r="N10" s="33" t="n">
        <f aca="false">IFERROR(DRE!N27/DRE!N13,0)</f>
        <v>0.0778166312322804</v>
      </c>
    </row>
    <row r="11" customFormat="false" ht="15" hidden="false" customHeight="false" outlineLevel="0" collapsed="false">
      <c r="A11" s="14" t="s">
        <v>164</v>
      </c>
      <c r="B11" s="34" t="n">
        <f aca="false">IFERROR(DRE!B33/DRE!B13,0)</f>
        <v>0.01934351200494</v>
      </c>
      <c r="C11" s="34" t="n">
        <f aca="false">IFERROR(DRE!C33/DRE!C13,0)</f>
        <v>0.0227460230909651</v>
      </c>
      <c r="D11" s="34" t="n">
        <f aca="false">IFERROR(DRE!D33/DRE!D13,0)</f>
        <v>0.0391356158023077</v>
      </c>
      <c r="E11" s="34" t="n">
        <f aca="false">IFERROR(DRE!E33/DRE!E13,0)</f>
        <v>0.0367114776547021</v>
      </c>
      <c r="F11" s="34" t="n">
        <f aca="false">IFERROR(DRE!F33/DRE!F13,0)</f>
        <v>0.0399732593409551</v>
      </c>
      <c r="G11" s="34" t="n">
        <f aca="false">IFERROR(DRE!G33/DRE!G13,0)</f>
        <v>0.0362251668659803</v>
      </c>
      <c r="H11" s="34" t="n">
        <f aca="false">IFERROR(DRE!H33/DRE!H13,0)</f>
        <v>0.0334349497960956</v>
      </c>
      <c r="I11" s="34" t="n">
        <f aca="false">IFERROR(DRE!I33/DRE!I13,0)</f>
        <v>0.039861292499762</v>
      </c>
      <c r="J11" s="34" t="n">
        <f aca="false">IFERROR(DRE!J33/DRE!J13,0)</f>
        <v>0.0431625243981783</v>
      </c>
      <c r="K11" s="34" t="n">
        <f aca="false">IFERROR(DRE!K33/DRE!K13,0)</f>
        <v>0.0470550546978515</v>
      </c>
      <c r="L11" s="34" t="n">
        <f aca="false">IFERROR(DRE!L33/DRE!L13,0)</f>
        <v>0.0487280394794086</v>
      </c>
      <c r="M11" s="34" t="n">
        <f aca="false">IFERROR(DRE!M33/DRE!M13,0)</f>
        <v>0.0610417732228813</v>
      </c>
      <c r="N11" s="34" t="n">
        <f aca="false">IFERROR(DRE!N33/DRE!N13,0)</f>
        <v>0.0396347868691204</v>
      </c>
    </row>
    <row r="12" customFormat="false" ht="15" hidden="false" customHeight="false" outlineLevel="0" collapsed="false">
      <c r="A12" s="21" t="s">
        <v>165</v>
      </c>
    </row>
    <row r="13" customFormat="false" ht="15" hidden="false" customHeight="false" outlineLevel="0" collapsed="false">
      <c r="A13" s="22" t="s">
        <v>166</v>
      </c>
      <c r="B13" s="33" t="n">
        <f aca="false">IFERROR(-SUM(DRE!B15:B17)/DRE!B13,0)</f>
        <v>0.590747175842404</v>
      </c>
      <c r="C13" s="33" t="n">
        <f aca="false">IFERROR(-SUM(DRE!C15:C17)/DRE!C13,0)</f>
        <v>0.590976980156943</v>
      </c>
      <c r="D13" s="33" t="n">
        <f aca="false">IFERROR(-SUM(DRE!D15:D17)/DRE!D13,0)</f>
        <v>0.593630978601448</v>
      </c>
      <c r="E13" s="33" t="n">
        <f aca="false">IFERROR(-SUM(DRE!E15:E17)/DRE!E13,0)</f>
        <v>0.592319350857406</v>
      </c>
      <c r="F13" s="33" t="n">
        <f aca="false">IFERROR(-SUM(DRE!F15:F17)/DRE!F13,0)</f>
        <v>0.59334386432188</v>
      </c>
      <c r="G13" s="33" t="n">
        <f aca="false">IFERROR(-SUM(DRE!G15:G17)/DRE!G13,0)</f>
        <v>0.59173639001056</v>
      </c>
      <c r="H13" s="33" t="n">
        <f aca="false">IFERROR(-SUM(DRE!H15:H17)/DRE!H13,0)</f>
        <v>0.590349121935279</v>
      </c>
      <c r="I13" s="33" t="n">
        <f aca="false">IFERROR(-SUM(DRE!I15:I17)/DRE!I13,0)</f>
        <v>0.59145357288401</v>
      </c>
      <c r="J13" s="33" t="n">
        <f aca="false">IFERROR(-SUM(DRE!J15:J17)/DRE!J13,0)</f>
        <v>0.591900065061809</v>
      </c>
      <c r="K13" s="33" t="n">
        <f aca="false">IFERROR(-SUM(DRE!K15:K17)/DRE!K13,0)</f>
        <v>0.592307123037979</v>
      </c>
      <c r="L13" s="33" t="n">
        <f aca="false">IFERROR(-SUM(DRE!L15:L17)/DRE!L13,0)</f>
        <v>0.592409153854807</v>
      </c>
      <c r="M13" s="33" t="n">
        <f aca="false">IFERROR(-SUM(DRE!M15:M17)/DRE!M13,0)</f>
        <v>0.593284926936296</v>
      </c>
      <c r="N13" s="33" t="n">
        <f aca="false">IFERROR(-SUM(DRE!N15:N17)/DRE!N13,0)</f>
        <v>0.592080555532947</v>
      </c>
    </row>
    <row r="14" customFormat="false" ht="15" hidden="false" customHeight="false" outlineLevel="0" collapsed="false">
      <c r="A14" s="22" t="s">
        <v>142</v>
      </c>
      <c r="B14" s="33" t="n">
        <f aca="false">IFERROR(-DRE!B20/DRE!B13,0)</f>
        <v>0.203411994042934</v>
      </c>
      <c r="C14" s="33" t="n">
        <f aca="false">IFERROR(-DRE!C20/DRE!C13,0)</f>
        <v>0.199141793698585</v>
      </c>
      <c r="D14" s="33" t="n">
        <f aca="false">IFERROR(-DRE!D20/DRE!D13,0)</f>
        <v>0.181829792162054</v>
      </c>
      <c r="E14" s="33" t="n">
        <f aca="false">IFERROR(-DRE!E20/DRE!E13,0)</f>
        <v>0.186127723502835</v>
      </c>
      <c r="F14" s="33" t="n">
        <f aca="false">IFERROR(-DRE!F20/DRE!F13,0)</f>
        <v>0.18688796574992</v>
      </c>
      <c r="G14" s="33" t="n">
        <f aca="false">IFERROR(-DRE!G20/DRE!G13,0)</f>
        <v>0.192827768947733</v>
      </c>
      <c r="H14" s="33" t="n">
        <f aca="false">IFERROR(-DRE!H20/DRE!H13,0)</f>
        <v>0.197413480520527</v>
      </c>
      <c r="I14" s="33" t="n">
        <f aca="false">IFERROR(-DRE!I20/DRE!I13,0)</f>
        <v>0.188679850724717</v>
      </c>
      <c r="J14" s="33" t="n">
        <f aca="false">IFERROR(-DRE!J20/DRE!J13,0)</f>
        <v>0.18363044892648</v>
      </c>
      <c r="K14" s="33" t="n">
        <f aca="false">IFERROR(-DRE!K20/DRE!K13,0)</f>
        <v>0.178828672197109</v>
      </c>
      <c r="L14" s="33" t="n">
        <f aca="false">IFERROR(-DRE!L20/DRE!L13,0)</f>
        <v>0.175614476446853</v>
      </c>
      <c r="M14" s="33" t="n">
        <f aca="false">IFERROR(-DRE!M20/DRE!M13,0)</f>
        <v>0.168641641292346</v>
      </c>
      <c r="N14" s="33" t="n">
        <f aca="false">IFERROR(-DRE!N20/DRE!N13,0)</f>
        <v>0.18632008792963</v>
      </c>
    </row>
    <row r="15" customFormat="false" ht="15" hidden="false" customHeight="false" outlineLevel="0" collapsed="false">
      <c r="A15" s="22" t="s">
        <v>143</v>
      </c>
      <c r="B15" s="33" t="n">
        <f aca="false">IFERROR(-DRE!B21/DRE!B13,0)</f>
        <v>0.0506108413749682</v>
      </c>
      <c r="C15" s="33" t="n">
        <f aca="false">IFERROR(-DRE!C21/DRE!C13,0)</f>
        <v>0.0493113012967924</v>
      </c>
      <c r="D15" s="33" t="n">
        <f aca="false">IFERROR(-DRE!D21/DRE!D13,0)</f>
        <v>0.0444833598682167</v>
      </c>
      <c r="E15" s="33" t="n">
        <f aca="false">IFERROR(-DRE!E21/DRE!E13,0)</f>
        <v>0.045091656824794</v>
      </c>
      <c r="F15" s="33" t="n">
        <f aca="false">IFERROR(-DRE!F21/DRE!F13,0)</f>
        <v>0.0425901146436892</v>
      </c>
      <c r="G15" s="33" t="n">
        <f aca="false">IFERROR(-DRE!G21/DRE!G13,0)</f>
        <v>0.0436158048810349</v>
      </c>
      <c r="H15" s="33" t="n">
        <f aca="false">IFERROR(-DRE!H21/DRE!H13,0)</f>
        <v>0.0445411367614341</v>
      </c>
      <c r="I15" s="33" t="n">
        <f aca="false">IFERROR(-DRE!I21/DRE!I13,0)</f>
        <v>0.0428915080162196</v>
      </c>
      <c r="J15" s="33" t="n">
        <f aca="false">IFERROR(-DRE!J21/DRE!J13,0)</f>
        <v>0.0422641509433962</v>
      </c>
      <c r="K15" s="33" t="n">
        <f aca="false">IFERROR(-DRE!K21/DRE!K13,0)</f>
        <v>0.0417672408986445</v>
      </c>
      <c r="L15" s="33" t="n">
        <f aca="false">IFERROR(-DRE!L21/DRE!L13,0)</f>
        <v>0.0415143065069942</v>
      </c>
      <c r="M15" s="33" t="n">
        <f aca="false">IFERROR(-DRE!M21/DRE!M13,0)</f>
        <v>0.0402483735737401</v>
      </c>
      <c r="N15" s="33" t="n">
        <f aca="false">IFERROR(-DRE!N21/DRE!N13,0)</f>
        <v>0.0438968409926374</v>
      </c>
    </row>
    <row r="16" customFormat="false" ht="15" hidden="false" customHeight="false" outlineLevel="0" collapsed="false">
      <c r="A16" s="22" t="s">
        <v>144</v>
      </c>
      <c r="B16" s="33" t="n">
        <f aca="false">IFERROR(-DRE!B22/DRE!B13,0)</f>
        <v>0.023731399305009</v>
      </c>
      <c r="C16" s="33" t="n">
        <f aca="false">IFERROR(-DRE!C22/DRE!C13,0)</f>
        <v>0.0235888196107252</v>
      </c>
      <c r="D16" s="33" t="n">
        <f aca="false">IFERROR(-DRE!D22/DRE!D13,0)</f>
        <v>0.0219710998862482</v>
      </c>
      <c r="E16" s="33" t="n">
        <f aca="false">IFERROR(-DRE!E22/DRE!E13,0)</f>
        <v>0.0222688526333749</v>
      </c>
      <c r="F16" s="33" t="n">
        <f aca="false">IFERROR(-DRE!F22/DRE!F13,0)</f>
        <v>0.02161289399829</v>
      </c>
      <c r="G16" s="33" t="n">
        <f aca="false">IFERROR(-DRE!G22/DRE!G13,0)</f>
        <v>0.0218625588376115</v>
      </c>
      <c r="H16" s="33" t="n">
        <f aca="false">IFERROR(-DRE!H22/DRE!H13,0)</f>
        <v>0.0220467435728706</v>
      </c>
      <c r="I16" s="33" t="n">
        <f aca="false">IFERROR(-DRE!I22/DRE!I13,0)</f>
        <v>0.0216061960580458</v>
      </c>
      <c r="J16" s="33" t="n">
        <f aca="false">IFERROR(-DRE!J22/DRE!J13,0)</f>
        <v>0.0213402732595966</v>
      </c>
      <c r="K16" s="33" t="n">
        <f aca="false">IFERROR(-DRE!K22/DRE!K13,0)</f>
        <v>0.0210863740459176</v>
      </c>
      <c r="L16" s="33" t="n">
        <f aca="false">IFERROR(-DRE!L22/DRE!L13,0)</f>
        <v>0.0210060399831553</v>
      </c>
      <c r="M16" s="33" t="n">
        <f aca="false">IFERROR(-DRE!M22/DRE!M13,0)</f>
        <v>0.0206499968929403</v>
      </c>
      <c r="N16" s="33" t="n">
        <f aca="false">IFERROR(-DRE!N22/DRE!N13,0)</f>
        <v>0.0218410932567279</v>
      </c>
    </row>
    <row r="17" customFormat="false" ht="15" hidden="false" customHeight="false" outlineLevel="0" collapsed="false">
      <c r="A17" s="22" t="s">
        <v>145</v>
      </c>
      <c r="B17" s="33" t="n">
        <f aca="false">IFERROR(-DRE!B23/DRE!B13,0)</f>
        <v>0.0280902277487862</v>
      </c>
      <c r="C17" s="33" t="n">
        <f aca="false">IFERROR(-DRE!C23/DRE!C13,0)</f>
        <v>0.0305824897465684</v>
      </c>
      <c r="D17" s="33" t="n">
        <f aca="false">IFERROR(-DRE!D23/DRE!D13,0)</f>
        <v>0.033984854011241</v>
      </c>
      <c r="E17" s="33" t="n">
        <f aca="false">IFERROR(-DRE!E23/DRE!E13,0)</f>
        <v>0.0322399806781697</v>
      </c>
      <c r="F17" s="33" t="n">
        <f aca="false">IFERROR(-DRE!F23/DRE!F13,0)</f>
        <v>0.0324193409974351</v>
      </c>
      <c r="G17" s="33" t="n">
        <f aca="false">IFERROR(-DRE!G23/DRE!G13,0)</f>
        <v>0.030498269578468</v>
      </c>
      <c r="H17" s="33" t="n">
        <f aca="false">IFERROR(-DRE!H23/DRE!H13,0)</f>
        <v>0.0277542761729539</v>
      </c>
      <c r="I17" s="33" t="n">
        <f aca="false">IFERROR(-DRE!I23/DRE!I13,0)</f>
        <v>0.0313396804208288</v>
      </c>
      <c r="J17" s="33" t="n">
        <f aca="false">IFERROR(-DRE!J23/DRE!J13,0)</f>
        <v>0.0342485361093038</v>
      </c>
      <c r="K17" s="33" t="n">
        <f aca="false">IFERROR(-DRE!K23/DRE!K13,0)</f>
        <v>0.0356846330007836</v>
      </c>
      <c r="L17" s="33" t="n">
        <f aca="false">IFERROR(-DRE!L23/DRE!L13,0)</f>
        <v>0.0382290016755055</v>
      </c>
      <c r="M17" s="33" t="n">
        <f aca="false">IFERROR(-DRE!M23/DRE!M13,0)</f>
        <v>0.0302101806396719</v>
      </c>
      <c r="N17" s="33" t="n">
        <f aca="false">IFERROR(-DRE!N23/DRE!N13,0)</f>
        <v>0.0322160597505053</v>
      </c>
    </row>
    <row r="18" customFormat="false" ht="15" hidden="false" customHeight="false" outlineLevel="0" collapsed="false">
      <c r="A18" s="22" t="s">
        <v>146</v>
      </c>
      <c r="B18" s="33" t="n">
        <f aca="false">IFERROR(-DRE!B24/DRE!B13,0)</f>
        <v>0.0243367921444225</v>
      </c>
      <c r="C18" s="33" t="n">
        <f aca="false">IFERROR(-DRE!C24/DRE!C13,0)</f>
        <v>0.0238258931746521</v>
      </c>
      <c r="D18" s="33" t="n">
        <f aca="false">IFERROR(-DRE!D24/DRE!D13,0)</f>
        <v>0.02175463584796</v>
      </c>
      <c r="E18" s="33" t="n">
        <f aca="false">IFERROR(-DRE!E24/DRE!E13,0)</f>
        <v>0.0222688526333749</v>
      </c>
      <c r="F18" s="33" t="n">
        <f aca="false">IFERROR(-DRE!F24/DRE!F13,0)</f>
        <v>0.0212950573218446</v>
      </c>
      <c r="G18" s="33" t="n">
        <f aca="false">IFERROR(-DRE!G24/DRE!G13,0)</f>
        <v>0.0219718716317995</v>
      </c>
      <c r="H18" s="33" t="n">
        <f aca="false">IFERROR(-DRE!H24/DRE!H13,0)</f>
        <v>0.0238373420356419</v>
      </c>
      <c r="I18" s="33" t="n">
        <f aca="false">IFERROR(-DRE!I24/DRE!I13,0)</f>
        <v>0.0227827710909097</v>
      </c>
      <c r="J18" s="33" t="n">
        <f aca="false">IFERROR(-DRE!J24/DRE!J13,0)</f>
        <v>0.0221730644111906</v>
      </c>
      <c r="K18" s="33" t="n">
        <f aca="false">IFERROR(-DRE!K24/DRE!K13,0)</f>
        <v>0.021593258037406</v>
      </c>
      <c r="L18" s="33" t="n">
        <f aca="false">IFERROR(-DRE!L24/DRE!L13,0)</f>
        <v>0.0212051493668819</v>
      </c>
      <c r="M18" s="33" t="n">
        <f aca="false">IFERROR(-DRE!M24/DRE!M13,0)</f>
        <v>0.0203631913805383</v>
      </c>
      <c r="N18" s="33" t="n">
        <f aca="false">IFERROR(-DRE!N24/DRE!N13,0)</f>
        <v>0.0222167385952957</v>
      </c>
    </row>
    <row r="19" customFormat="false" ht="15" hidden="false" customHeight="false" outlineLevel="0" collapsed="false">
      <c r="A19" s="18" t="s">
        <v>167</v>
      </c>
      <c r="B19" s="35" t="n">
        <f aca="false">IFERROR(-SUM(DRE!B20:B24)/DRE!B13,0)</f>
        <v>0.33018125461612</v>
      </c>
      <c r="C19" s="35" t="n">
        <f aca="false">IFERROR(-SUM(DRE!C20:C24)/DRE!C13,0)</f>
        <v>0.326450297527323</v>
      </c>
      <c r="D19" s="35" t="n">
        <f aca="false">IFERROR(-SUM(DRE!D20:D24)/DRE!D13,0)</f>
        <v>0.304023741775719</v>
      </c>
      <c r="E19" s="35" t="n">
        <f aca="false">IFERROR(-SUM(DRE!E20:E24)/DRE!E13,0)</f>
        <v>0.307997066272549</v>
      </c>
      <c r="F19" s="35" t="n">
        <f aca="false">IFERROR(-SUM(DRE!F20:F24)/DRE!F13,0)</f>
        <v>0.304805372711179</v>
      </c>
      <c r="G19" s="35" t="n">
        <f aca="false">IFERROR(-SUM(DRE!G20:G24)/DRE!G13,0)</f>
        <v>0.310776273876647</v>
      </c>
      <c r="H19" s="35" t="n">
        <f aca="false">IFERROR(-SUM(DRE!H20:H24)/DRE!H13,0)</f>
        <v>0.315592979063428</v>
      </c>
      <c r="I19" s="35" t="n">
        <f aca="false">IFERROR(-SUM(DRE!I20:I24)/DRE!I13,0)</f>
        <v>0.307300006310721</v>
      </c>
      <c r="J19" s="35" t="n">
        <f aca="false">IFERROR(-SUM(DRE!J20:J24)/DRE!J13,0)</f>
        <v>0.303656473649967</v>
      </c>
      <c r="K19" s="35" t="n">
        <f aca="false">IFERROR(-SUM(DRE!K20:K24)/DRE!K13,0)</f>
        <v>0.298960178179861</v>
      </c>
      <c r="L19" s="35" t="n">
        <f aca="false">IFERROR(-SUM(DRE!L20:L24)/DRE!L13,0)</f>
        <v>0.29756897397939</v>
      </c>
      <c r="M19" s="35" t="n">
        <f aca="false">IFERROR(-SUM(DRE!M20:M24)/DRE!M13,0)</f>
        <v>0.280113383779236</v>
      </c>
      <c r="N19" s="35" t="n">
        <f aca="false">IFERROR(-SUM(DRE!N20:N24)/DRE!N13,0)</f>
        <v>0.306490820524796</v>
      </c>
    </row>
    <row r="20" customFormat="false" ht="15" hidden="false" customHeight="false" outlineLevel="0" collapsed="false">
      <c r="A20" s="21" t="s">
        <v>168</v>
      </c>
    </row>
    <row r="21" customFormat="false" ht="15" hidden="false" customHeight="false" outlineLevel="0" collapsed="false">
      <c r="A21" s="22" t="s">
        <v>169</v>
      </c>
      <c r="B21" s="23" t="n">
        <f aca="false">IFERROR(-SUM(DRE!B20:B24)/(DRE!B18/DRE!B13),0)</f>
        <v>666336.269178654</v>
      </c>
      <c r="C21" s="23" t="n">
        <f aca="false">IFERROR(-SUM(DRE!C20:C24)/(DRE!C18/DRE!C13),0)</f>
        <v>673311.737089202</v>
      </c>
      <c r="D21" s="23" t="n">
        <f aca="false">IFERROR(-SUM(DRE!D20:D24)/(DRE!D18/DRE!D13),0)</f>
        <v>691243.636223203</v>
      </c>
      <c r="E21" s="23" t="n">
        <f aca="false">IFERROR(-SUM(DRE!E20:E24)/(DRE!E18/DRE!E13),0)</f>
        <v>681906.292547048</v>
      </c>
      <c r="F21" s="23" t="n">
        <f aca="false">IFERROR(-SUM(DRE!F20:F24)/(DRE!F18/DRE!F13),0)</f>
        <v>707477.337137051</v>
      </c>
      <c r="G21" s="23" t="n">
        <f aca="false">IFERROR(-SUM(DRE!G20:G24)/(DRE!G18/DRE!G13),0)</f>
        <v>696363.802807096</v>
      </c>
      <c r="H21" s="23" t="n">
        <f aca="false">IFERROR(-SUM(DRE!H20:H24)/(DRE!H18/DRE!H13),0)</f>
        <v>688391.054676188</v>
      </c>
      <c r="I21" s="23" t="n">
        <f aca="false">IFERROR(-SUM(DRE!I20:I24)/(DRE!I18/DRE!I13),0)</f>
        <v>703224.850179471</v>
      </c>
      <c r="J21" s="23" t="n">
        <f aca="false">IFERROR(-SUM(DRE!J20:J24)/(DRE!J18/DRE!J13),0)</f>
        <v>714775.904201453</v>
      </c>
      <c r="K21" s="23" t="n">
        <f aca="false">IFERROR(-SUM(DRE!K20:K24)/(DRE!K18/DRE!K13),0)</f>
        <v>723338.612627935</v>
      </c>
      <c r="L21" s="23" t="n">
        <f aca="false">IFERROR(-SUM(DRE!L20:L24)/(DRE!L18/DRE!L13),0)</f>
        <v>733333.446584631</v>
      </c>
      <c r="M21" s="23" t="n">
        <f aca="false">IFERROR(-SUM(DRE!M20:M24)/(DRE!M18/DRE!M13),0)</f>
        <v>720406.051816297</v>
      </c>
      <c r="N21" s="23" t="n">
        <f aca="false">IFERROR(-SUM(DRE!N20:N24)/(DRE!N18/DRE!N13),0)</f>
        <v>8400678.23802104</v>
      </c>
    </row>
    <row r="22" customFormat="false" ht="15" hidden="false" customHeight="false" outlineLevel="0" collapsed="false">
      <c r="A22" s="22" t="s">
        <v>170</v>
      </c>
      <c r="B22" s="33" t="n">
        <f aca="false">IFERROR(1-B21/B5,0)</f>
        <v>0.193209587995479</v>
      </c>
      <c r="C22" s="33" t="n">
        <f aca="false">IFERROR(1-C21/C5,0)</f>
        <v>0.2018779342723</v>
      </c>
      <c r="D22" s="33" t="n">
        <f aca="false">IFERROR(1-D21/D5,0)</f>
        <v>0.251853055310672</v>
      </c>
      <c r="E22" s="33" t="n">
        <f aca="false">IFERROR(1-E21/E5,0)</f>
        <v>0.244513893606903</v>
      </c>
      <c r="F22" s="33" t="n">
        <f aca="false">IFERROR(1-F21/F5,0)</f>
        <v>0.250459181679628</v>
      </c>
      <c r="G22" s="33" t="n">
        <f aca="false">IFERROR(1-G21/G5,0)</f>
        <v>0.238785269437349</v>
      </c>
      <c r="H22" s="33" t="n">
        <f aca="false">IFERROR(1-H21/H5,0)</f>
        <v>0.229605022319599</v>
      </c>
      <c r="I22" s="33" t="n">
        <f aca="false">IFERROR(1-I21/I5,0)</f>
        <v>0.247821089808539</v>
      </c>
      <c r="J22" s="33" t="n">
        <f aca="false">IFERROR(1-J21/J5,0)</f>
        <v>0.255926189510523</v>
      </c>
      <c r="K22" s="33" t="n">
        <f aca="false">IFERROR(1-K21/K5,0)</f>
        <v>0.266702473666935</v>
      </c>
      <c r="L22" s="33" t="n">
        <f aca="false">IFERROR(1-L21/L5,0)</f>
        <v>0.269932146922186</v>
      </c>
      <c r="M22" s="33" t="n">
        <f aca="false">IFERROR(1-M21/M5,0)</f>
        <v>0.311278577237875</v>
      </c>
      <c r="N22" s="33" t="n">
        <f aca="false">IFERROR(1-N21/N5,0)</f>
        <v>0.248648661685577</v>
      </c>
    </row>
    <row r="23" customFormat="false" ht="15" hidden="false" customHeight="false" outlineLevel="0" collapsed="false">
      <c r="A23" s="8" t="s">
        <v>171</v>
      </c>
    </row>
    <row r="43" customFormat="false" ht="15" hidden="false" customHeight="false" outlineLevel="0" collapsed="false">
      <c r="A43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&amp;LModelo LeverPro · @alyssonguimaraes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2026-11-05T07:30:47Z</dcterms:created>
  <dc:creator>openpyxl</dc:creator>
  <dc:description/>
  <dc:language>en-US</dc:language>
  <cp:lastModifiedBy/>
  <dcterms:modified xsi:type="dcterms:W3CDTF">2026-11-05T04:30:48Z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